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  <sheet name="Лист3" sheetId="2" r:id="rId2"/>
  </sheets>
  <definedNames>
    <definedName name="_xlnm.Print_Titles" localSheetId="0">'Лист2'!$5:$6</definedName>
  </definedNames>
  <calcPr fullCalcOnLoad="1"/>
</workbook>
</file>

<file path=xl/sharedStrings.xml><?xml version="1.0" encoding="utf-8"?>
<sst xmlns="http://schemas.openxmlformats.org/spreadsheetml/2006/main" count="492" uniqueCount="175">
  <si>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</si>
  <si>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</si>
  <si>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</si>
  <si>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</si>
  <si>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</si>
  <si>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Справочно: Факт  на 01.01.2008 год</t>
  </si>
  <si>
    <t>Уточненный годовой план на 2008 год (роспись)</t>
  </si>
  <si>
    <t xml:space="preserve">Факт с начала года на 01.01.09г. </t>
  </si>
  <si>
    <t>Отклонение абсолютное факта от плана  9 месяцев</t>
  </si>
  <si>
    <t>% выполн. к плану 9 месяцев</t>
  </si>
  <si>
    <t>Отклонение абсолютное факта от плана  года</t>
  </si>
  <si>
    <t>% выполн. к плану года</t>
  </si>
  <si>
    <t>Оценка ожидаемого исполнения 2008 год (на 01.10.2008)</t>
  </si>
  <si>
    <t>Оценка ожидаемого исполнения 2008 год</t>
  </si>
  <si>
    <t>Оценка ожидаемого исполнения 2008 год (по данным администраторов) по состоянию на 12.12.2008г.</t>
  </si>
  <si>
    <t>9 месяцев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</si>
  <si>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</si>
  <si>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</si>
  <si>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</si>
  <si>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</si>
  <si>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</si>
  <si>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</si>
  <si>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</si>
  <si>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</si>
  <si>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1 11 08044 04 0000 120</t>
  </si>
  <si>
    <t>Прочие поступления от использования имущества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</si>
  <si>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</si>
  <si>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</si>
  <si>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</si>
  <si>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</si>
  <si>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</si>
  <si>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</si>
  <si>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</si>
  <si>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</si>
  <si>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</si>
  <si>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</si>
  <si>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1 14 06024 04 0000 420</t>
  </si>
  <si>
    <t xml:space="preserve">Доходы от продажи земельных участков, находящихся в собственности городских округов 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</si>
  <si>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</si>
  <si>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</si>
  <si>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</si>
  <si>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</si>
  <si>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</si>
  <si>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</si>
  <si>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3 00 00000 00 0000 000</t>
  </si>
  <si>
    <t>Доходы от предпринимательской деятельности</t>
  </si>
  <si>
    <t>ИТОГО ПО АДМИНИСТРАТОРУ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</si>
  <si>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</si>
  <si>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</si>
  <si>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</si>
  <si>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</si>
  <si>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</si>
  <si>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</si>
  <si>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</si>
  <si>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</si>
  <si>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</si>
  <si>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</si>
  <si>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</si>
  <si>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</si>
  <si>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</si>
  <si>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</si>
  <si>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</si>
  <si>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</si>
  <si>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188, 835, 187</t>
  </si>
  <si>
    <t xml:space="preserve">ГУВД    </t>
  </si>
  <si>
    <t>1 08 07140 01 0000 110</t>
  </si>
  <si>
    <t>Госпошлина за регистрац трансп. средств</t>
  </si>
  <si>
    <t>2 02 04000 00 0000 000</t>
  </si>
  <si>
    <t>Иные межбюджетные трансферты</t>
  </si>
  <si>
    <t>321, 086, 085</t>
  </si>
  <si>
    <t xml:space="preserve"> ГУ Фед. регистрационной службы по ПК,   УФС по надpзору в сфере связи, управление россвязькультуры по ПК, министерство юстиции РФ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</si>
  <si>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</si>
  <si>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</si>
  <si>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1 08 07120 01 0000 110</t>
  </si>
  <si>
    <t>Государственная пошлина за государственную регистрацию региональных отделений политической партии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</si>
  <si>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</si>
  <si>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</si>
  <si>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</si>
  <si>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</si>
  <si>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</si>
  <si>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</si>
  <si>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</si>
  <si>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</si>
  <si>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</si>
  <si>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</si>
  <si>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</si>
  <si>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</si>
  <si>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</si>
  <si>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</si>
  <si>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</si>
  <si>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</si>
  <si>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</si>
  <si>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</si>
  <si>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2 02 03000 00 0000 000</t>
  </si>
  <si>
    <t xml:space="preserve">Субвенции от других бюджетов бюджетной системы РФ    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</si>
  <si>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</si>
  <si>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</si>
  <si>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</si>
  <si>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</si>
  <si>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</si>
  <si>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</si>
  <si>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</si>
  <si>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</si>
  <si>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</si>
  <si>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</si>
  <si>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920</t>
  </si>
  <si>
    <t>Управление здравоохранения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</si>
  <si>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</si>
  <si>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</si>
  <si>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</si>
  <si>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</si>
  <si>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</si>
  <si>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</si>
  <si>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930</t>
  </si>
  <si>
    <t>Департамент образования</t>
  </si>
  <si>
    <t>Прочие безвозмездные поступления (Лукойл)</t>
  </si>
  <si>
    <t>931-938</t>
  </si>
  <si>
    <t>Администрации районов, Н.-Ляды</t>
  </si>
  <si>
    <t>1 14 01040 04 0000 410</t>
  </si>
  <si>
    <t>Доходы от продажи квартир</t>
  </si>
  <si>
    <t>1 15 02040 04 0000 140</t>
  </si>
  <si>
    <t>Платежи, взымаемые организациями городских округов за выполнение определенных функций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</si>
  <si>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</si>
  <si>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</si>
  <si>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</si>
  <si>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</si>
  <si>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</si>
  <si>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</si>
  <si>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964</t>
  </si>
  <si>
    <t>Департамент общественной безопасности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</si>
  <si>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</si>
  <si>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</si>
  <si>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</si>
  <si>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</si>
  <si>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</si>
  <si>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Доходы по договорам на размещение средств наружной рекламы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</si>
  <si>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</si>
  <si>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</si>
  <si>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</si>
  <si>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</si>
  <si>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</si>
  <si>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жлищных отношений </t>
  </si>
  <si>
    <t>992</t>
  </si>
  <si>
    <t>Департамент земельных отношений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</si>
  <si>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</si>
  <si>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</si>
  <si>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</si>
  <si>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 xml:space="preserve">Арендная плата за земельные участки, находящиеся в собственности городских округов </t>
  </si>
  <si>
    <t>Иные администраторы</t>
  </si>
  <si>
    <t>Прочие неналоговые поступления</t>
  </si>
  <si>
    <t>2 02 01000 00 0000 000</t>
  </si>
  <si>
    <t xml:space="preserve">Дотации бюджетам городских округов на выравнивание уровня бюджетной обеспеченности                                                                                                            </t>
  </si>
  <si>
    <t>ВСЕГО ДОХОДОВ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</si>
  <si>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</si>
  <si>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</si>
  <si>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</si>
  <si>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</si>
  <si>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</si>
  <si>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</si>
  <si>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</si>
  <si>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</si>
  <si>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1 14 02031 04 0000 410</t>
  </si>
  <si>
    <t xml:space="preserve">Доходы от реализации имущества муниципальных унитарных предприятий 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</si>
  <si>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</si>
  <si>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</si>
  <si>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</si>
  <si>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</si>
  <si>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</si>
  <si>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</si>
  <si>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</si>
  <si>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</si>
  <si>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ДОХОДЫ ОТ ПРЕДПРИНИМАТЕЛЬСКОЙ И ИНОЙ ПРИНОСЯЩЕЙ ДОХОД ДЕЯТЕЛЬНОСТИ</t>
  </si>
  <si>
    <t>ИТОГО СОБСТВЕННЫЕ ДОХОДЫ (налоговые и неналоговые доходы, дотации)</t>
  </si>
  <si>
    <t>Оперативный анализ поступления доходов по состоянию на 1 января 2009 года</t>
  </si>
  <si>
    <t>Приложение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</si>
</sst>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</numFmts>
  <fonts count="8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horizontal="right" wrapText="1"/>
    </xf>
    <xf numFmtId="165" fontId="0" fillId="0" borderId="4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165" fontId="5" fillId="0" borderId="1" xfId="15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65" fontId="1" fillId="0" borderId="1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66" fontId="1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165" fontId="5" fillId="0" borderId="2" xfId="15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wrapText="1"/>
    </xf>
    <xf numFmtId="165" fontId="1" fillId="0" borderId="0" xfId="15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4" fontId="5" fillId="0" borderId="0" xfId="15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5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4"/>
  <sheetViews>
    <sheetView tabSelected="1" zoomScale="75" zoomScaleNormal="75" workbookViewId="0" topLeftCell="A1">
      <pane xSplit="4" ySplit="6" topLeftCell="E22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34" sqref="E234"/>
    </sheetView>
  </sheetViews>
  <sheetFormatPr defaultColWidth="9.00390625" defaultRowHeight="12.75"/>
  <cols>
    <col min="1" max="1" width="7.00390625" style="1" customWidth="1"/>
    <col min="2" max="2" width="19.00390625" style="3" customWidth="1"/>
    <col min="3" max="3" width="25.75390625" style="4" hidden="1" customWidth="1"/>
    <col min="4" max="4" width="71.375" style="5" customWidth="1"/>
    <col min="5" max="5" width="14.625" style="5" customWidth="1"/>
    <col min="6" max="6" width="15.75390625" style="5" customWidth="1"/>
    <col min="7" max="7" width="13.375" style="6" hidden="1" customWidth="1"/>
    <col min="8" max="8" width="14.75390625" style="6" customWidth="1"/>
    <col min="9" max="9" width="14.375" style="8" hidden="1" customWidth="1"/>
    <col min="10" max="10" width="10.125" style="8" hidden="1" customWidth="1"/>
    <col min="11" max="11" width="14.75390625" style="2" customWidth="1"/>
    <col min="12" max="12" width="9.75390625" style="2" customWidth="1"/>
    <col min="13" max="13" width="16.00390625" style="2" hidden="1" customWidth="1"/>
    <col min="14" max="14" width="16.00390625" style="2" customWidth="1"/>
    <col min="15" max="15" width="20.125" style="2" customWidth="1"/>
    <col min="16" max="16384" width="17.375" style="2" customWidth="1"/>
  </cols>
  <sheetData>
    <row r="1" ht="15.75">
      <c r="O1" s="91" t="s">
        <v>174</v>
      </c>
    </row>
    <row r="3" spans="1:15" ht="20.25" customHeight="1">
      <c r="A3" s="98" t="s">
        <v>173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8:15" ht="15.75">
      <c r="H4" s="7"/>
      <c r="J4" s="7"/>
      <c r="L4" s="7"/>
      <c r="N4" s="7"/>
      <c r="O4" s="7" t="s">
        <v>0</v>
      </c>
    </row>
    <row r="5" spans="1:15" ht="58.5" customHeight="1">
      <c r="A5" s="101" t="s">
        <v>1</v>
      </c>
      <c r="B5" s="100" t="s">
        <v>2</v>
      </c>
      <c r="C5" s="101" t="s">
        <v>3</v>
      </c>
      <c r="D5" s="100" t="s">
        <v>4</v>
      </c>
      <c r="E5" s="102" t="s">
        <v>5</v>
      </c>
      <c r="F5" s="94" t="s">
        <v>6</v>
      </c>
      <c r="G5" s="11"/>
      <c r="H5" s="96" t="s">
        <v>7</v>
      </c>
      <c r="I5" s="92" t="s">
        <v>8</v>
      </c>
      <c r="J5" s="110" t="s">
        <v>9</v>
      </c>
      <c r="K5" s="111" t="s">
        <v>10</v>
      </c>
      <c r="L5" s="110" t="s">
        <v>11</v>
      </c>
      <c r="M5" s="103" t="s">
        <v>12</v>
      </c>
      <c r="N5" s="103" t="s">
        <v>13</v>
      </c>
      <c r="O5" s="103" t="s">
        <v>14</v>
      </c>
    </row>
    <row r="6" spans="1:15" ht="54" customHeight="1">
      <c r="A6" s="101"/>
      <c r="B6" s="100"/>
      <c r="C6" s="101"/>
      <c r="D6" s="100"/>
      <c r="E6" s="102"/>
      <c r="F6" s="95"/>
      <c r="G6" s="10" t="s">
        <v>15</v>
      </c>
      <c r="H6" s="97"/>
      <c r="I6" s="93"/>
      <c r="J6" s="93"/>
      <c r="K6" s="112"/>
      <c r="L6" s="93"/>
      <c r="M6" s="104"/>
      <c r="N6" s="104"/>
      <c r="O6" s="104"/>
    </row>
    <row r="7" spans="1:15" ht="15.75" customHeight="1">
      <c r="A7" s="105" t="s">
        <v>16</v>
      </c>
      <c r="B7" s="108" t="s">
        <v>17</v>
      </c>
      <c r="C7" s="12" t="s">
        <v>18</v>
      </c>
      <c r="D7" s="13" t="s">
        <v>19</v>
      </c>
      <c r="E7" s="14">
        <v>578.8</v>
      </c>
      <c r="F7" s="14"/>
      <c r="G7" s="15"/>
      <c r="H7" s="16">
        <v>1068.2</v>
      </c>
      <c r="I7" s="17">
        <f>H7-G7</f>
        <v>1068.2</v>
      </c>
      <c r="J7" s="14"/>
      <c r="L7" s="18"/>
      <c r="N7" s="18"/>
      <c r="O7" s="18">
        <v>1068.2</v>
      </c>
    </row>
    <row r="8" spans="1:15" ht="15.75">
      <c r="A8" s="106"/>
      <c r="B8" s="109"/>
      <c r="C8" s="20" t="s">
        <v>20</v>
      </c>
      <c r="D8" s="21" t="s">
        <v>21</v>
      </c>
      <c r="E8" s="16">
        <v>691928.3</v>
      </c>
      <c r="F8" s="16">
        <v>535769</v>
      </c>
      <c r="G8" s="16">
        <v>400000</v>
      </c>
      <c r="H8" s="16">
        <v>689119.4</v>
      </c>
      <c r="I8" s="17">
        <f aca="true" t="shared" si="0" ref="I8:I71">H8-G8</f>
        <v>289119.4</v>
      </c>
      <c r="J8" s="22">
        <f>H8/G8*100</f>
        <v>172.27985</v>
      </c>
      <c r="K8" s="23">
        <f>H8-F8</f>
        <v>153350.40000000002</v>
      </c>
      <c r="L8" s="24">
        <f>H8/F8*100</f>
        <v>128.6224846902303</v>
      </c>
      <c r="M8" s="25"/>
      <c r="N8" s="24">
        <v>681947.1</v>
      </c>
      <c r="O8" s="24">
        <v>681947.1</v>
      </c>
    </row>
    <row r="9" spans="1:15" ht="31.5">
      <c r="A9" s="106"/>
      <c r="B9" s="109"/>
      <c r="C9" s="20" t="s">
        <v>22</v>
      </c>
      <c r="D9" s="26" t="s">
        <v>23</v>
      </c>
      <c r="E9" s="16">
        <v>4405.4</v>
      </c>
      <c r="F9" s="16">
        <v>3792.7</v>
      </c>
      <c r="G9" s="16">
        <v>3792.7</v>
      </c>
      <c r="H9" s="16">
        <v>6228.4</v>
      </c>
      <c r="I9" s="17">
        <f t="shared" si="0"/>
        <v>2435.7</v>
      </c>
      <c r="J9" s="22">
        <f>H9/G9*100</f>
        <v>164.22073984232867</v>
      </c>
      <c r="K9" s="23">
        <f aca="true" t="shared" si="1" ref="K9:K74">H9-F9</f>
        <v>2435.7</v>
      </c>
      <c r="L9" s="24">
        <f aca="true" t="shared" si="2" ref="L9:L70">H9/F9*100</f>
        <v>164.22073984232867</v>
      </c>
      <c r="M9" s="25"/>
      <c r="N9" s="24">
        <v>6162</v>
      </c>
      <c r="O9" s="24">
        <v>6228.4</v>
      </c>
    </row>
    <row r="10" spans="1:15" ht="15.75" customHeight="1" hidden="1">
      <c r="A10" s="106"/>
      <c r="B10" s="109"/>
      <c r="C10" s="20" t="s">
        <v>24</v>
      </c>
      <c r="D10" s="26" t="s">
        <v>25</v>
      </c>
      <c r="E10" s="16"/>
      <c r="F10" s="16"/>
      <c r="G10" s="16"/>
      <c r="H10" s="16"/>
      <c r="I10" s="17">
        <f t="shared" si="0"/>
        <v>0</v>
      </c>
      <c r="J10" s="22" t="e">
        <f>H10/G10*100</f>
        <v>#DIV/0!</v>
      </c>
      <c r="K10" s="23">
        <f t="shared" si="1"/>
        <v>0</v>
      </c>
      <c r="L10" s="24" t="e">
        <f t="shared" si="2"/>
        <v>#DIV/0!</v>
      </c>
      <c r="M10" s="25"/>
      <c r="N10" s="24"/>
      <c r="O10" s="24"/>
    </row>
    <row r="11" spans="1:15" ht="31.5">
      <c r="A11" s="106"/>
      <c r="B11" s="109"/>
      <c r="C11" s="27" t="s">
        <v>26</v>
      </c>
      <c r="D11" s="28" t="s">
        <v>27</v>
      </c>
      <c r="E11" s="16">
        <v>51123.7</v>
      </c>
      <c r="F11" s="16"/>
      <c r="G11" s="16"/>
      <c r="H11" s="16">
        <v>15703.6</v>
      </c>
      <c r="I11" s="17">
        <f t="shared" si="0"/>
        <v>15703.6</v>
      </c>
      <c r="J11" s="22"/>
      <c r="K11" s="23">
        <f t="shared" si="1"/>
        <v>15703.6</v>
      </c>
      <c r="L11" s="24"/>
      <c r="M11" s="25"/>
      <c r="N11" s="24">
        <v>8411.5</v>
      </c>
      <c r="O11" s="24">
        <v>14965.2</v>
      </c>
    </row>
    <row r="12" spans="1:15" ht="31.5">
      <c r="A12" s="106"/>
      <c r="B12" s="109"/>
      <c r="C12" s="20" t="s">
        <v>28</v>
      </c>
      <c r="D12" s="29" t="s">
        <v>29</v>
      </c>
      <c r="E12" s="16">
        <v>46.3</v>
      </c>
      <c r="F12" s="16"/>
      <c r="G12" s="16"/>
      <c r="H12" s="16">
        <v>184.4</v>
      </c>
      <c r="I12" s="17">
        <f t="shared" si="0"/>
        <v>184.4</v>
      </c>
      <c r="J12" s="22"/>
      <c r="K12" s="23">
        <f t="shared" si="1"/>
        <v>184.4</v>
      </c>
      <c r="L12" s="24"/>
      <c r="M12" s="25"/>
      <c r="N12" s="24">
        <v>92</v>
      </c>
      <c r="O12" s="24">
        <v>92</v>
      </c>
    </row>
    <row r="13" spans="1:15" ht="63" customHeight="1" hidden="1">
      <c r="A13" s="106"/>
      <c r="B13" s="109"/>
      <c r="C13" s="27" t="s">
        <v>30</v>
      </c>
      <c r="D13" s="30" t="s">
        <v>31</v>
      </c>
      <c r="E13" s="16"/>
      <c r="F13" s="16"/>
      <c r="G13" s="16"/>
      <c r="H13" s="16"/>
      <c r="I13" s="17">
        <f t="shared" si="0"/>
        <v>0</v>
      </c>
      <c r="J13" s="22"/>
      <c r="K13" s="23">
        <f t="shared" si="1"/>
        <v>0</v>
      </c>
      <c r="L13" s="24"/>
      <c r="M13" s="25"/>
      <c r="N13" s="16"/>
      <c r="O13" s="16"/>
    </row>
    <row r="14" spans="1:15" ht="78.75">
      <c r="A14" s="106"/>
      <c r="B14" s="109"/>
      <c r="C14" s="27" t="s">
        <v>32</v>
      </c>
      <c r="D14" s="30" t="s">
        <v>33</v>
      </c>
      <c r="E14" s="16"/>
      <c r="F14" s="16"/>
      <c r="G14" s="16"/>
      <c r="H14" s="16">
        <v>194.8</v>
      </c>
      <c r="I14" s="17">
        <f t="shared" si="0"/>
        <v>194.8</v>
      </c>
      <c r="J14" s="22"/>
      <c r="K14" s="23">
        <f t="shared" si="1"/>
        <v>194.8</v>
      </c>
      <c r="L14" s="24"/>
      <c r="M14" s="25"/>
      <c r="N14" s="16"/>
      <c r="O14" s="16">
        <v>176.7</v>
      </c>
    </row>
    <row r="15" spans="1:15" ht="47.25">
      <c r="A15" s="106"/>
      <c r="B15" s="109"/>
      <c r="C15" s="27" t="s">
        <v>34</v>
      </c>
      <c r="D15" s="28" t="s">
        <v>35</v>
      </c>
      <c r="E15" s="16">
        <f>1043844.8+550</f>
        <v>1044394.8</v>
      </c>
      <c r="F15" s="16">
        <v>1122450.5</v>
      </c>
      <c r="G15" s="16">
        <v>1017609.9</v>
      </c>
      <c r="H15" s="16">
        <v>396685.7</v>
      </c>
      <c r="I15" s="17">
        <f t="shared" si="0"/>
        <v>-620924.2</v>
      </c>
      <c r="J15" s="22">
        <f>H15/G15*100</f>
        <v>38.982099132486816</v>
      </c>
      <c r="K15" s="23">
        <f t="shared" si="1"/>
        <v>-725764.8</v>
      </c>
      <c r="L15" s="24">
        <f t="shared" si="2"/>
        <v>35.341041765316156</v>
      </c>
      <c r="M15" s="25"/>
      <c r="N15" s="24">
        <v>416175</v>
      </c>
      <c r="O15" s="24">
        <v>373035.1</v>
      </c>
    </row>
    <row r="16" spans="1:15" ht="31.5">
      <c r="A16" s="106"/>
      <c r="B16" s="109"/>
      <c r="C16" s="27" t="s">
        <v>36</v>
      </c>
      <c r="D16" s="28" t="s">
        <v>37</v>
      </c>
      <c r="E16" s="16">
        <v>7014.8</v>
      </c>
      <c r="F16" s="16"/>
      <c r="G16" s="16"/>
      <c r="H16" s="16"/>
      <c r="I16" s="17">
        <f t="shared" si="0"/>
        <v>0</v>
      </c>
      <c r="J16" s="22"/>
      <c r="K16" s="23">
        <f t="shared" si="1"/>
        <v>0</v>
      </c>
      <c r="L16" s="24"/>
      <c r="M16" s="25"/>
      <c r="N16" s="24"/>
      <c r="O16" s="24"/>
    </row>
    <row r="17" spans="1:15" ht="15.75">
      <c r="A17" s="106"/>
      <c r="B17" s="109"/>
      <c r="C17" s="20" t="s">
        <v>38</v>
      </c>
      <c r="D17" s="26" t="s">
        <v>39</v>
      </c>
      <c r="E17" s="16">
        <v>8.9</v>
      </c>
      <c r="F17" s="16"/>
      <c r="G17" s="16"/>
      <c r="H17" s="16">
        <v>510.3</v>
      </c>
      <c r="I17" s="17">
        <f t="shared" si="0"/>
        <v>510.3</v>
      </c>
      <c r="J17" s="22"/>
      <c r="K17" s="23">
        <f t="shared" si="1"/>
        <v>510.3</v>
      </c>
      <c r="L17" s="24"/>
      <c r="M17" s="25">
        <v>483.8</v>
      </c>
      <c r="N17" s="16">
        <v>501.8</v>
      </c>
      <c r="O17" s="16">
        <v>501.8</v>
      </c>
    </row>
    <row r="18" spans="1:15" ht="15.75">
      <c r="A18" s="106"/>
      <c r="B18" s="109"/>
      <c r="C18" s="20" t="s">
        <v>40</v>
      </c>
      <c r="D18" s="26" t="s">
        <v>41</v>
      </c>
      <c r="E18" s="16">
        <v>-5400.2</v>
      </c>
      <c r="F18" s="16"/>
      <c r="G18" s="16"/>
      <c r="H18" s="16">
        <v>-394.5</v>
      </c>
      <c r="I18" s="17">
        <f t="shared" si="0"/>
        <v>-394.5</v>
      </c>
      <c r="J18" s="22"/>
      <c r="K18" s="23">
        <f t="shared" si="1"/>
        <v>-394.5</v>
      </c>
      <c r="L18" s="24"/>
      <c r="M18" s="25"/>
      <c r="N18" s="24"/>
      <c r="O18" s="24"/>
    </row>
    <row r="19" spans="1:15" ht="15.75">
      <c r="A19" s="106"/>
      <c r="B19" s="109"/>
      <c r="C19" s="20" t="s">
        <v>42</v>
      </c>
      <c r="D19" s="26" t="s">
        <v>43</v>
      </c>
      <c r="E19" s="16">
        <v>253.7</v>
      </c>
      <c r="F19" s="16"/>
      <c r="G19" s="16"/>
      <c r="H19" s="16">
        <v>28330</v>
      </c>
      <c r="I19" s="17">
        <f t="shared" si="0"/>
        <v>28330</v>
      </c>
      <c r="J19" s="22"/>
      <c r="K19" s="23">
        <f t="shared" si="1"/>
        <v>28330</v>
      </c>
      <c r="L19" s="24"/>
      <c r="M19" s="25"/>
      <c r="N19" s="24">
        <v>29000</v>
      </c>
      <c r="O19" s="24">
        <v>29000</v>
      </c>
    </row>
    <row r="20" spans="1:15" ht="15.75">
      <c r="A20" s="106"/>
      <c r="B20" s="109"/>
      <c r="C20" s="20" t="s">
        <v>44</v>
      </c>
      <c r="D20" s="26" t="s">
        <v>45</v>
      </c>
      <c r="E20" s="16">
        <v>1459.5</v>
      </c>
      <c r="F20" s="16">
        <v>6254.7</v>
      </c>
      <c r="G20" s="16">
        <v>4103.3</v>
      </c>
      <c r="H20" s="16">
        <v>2036.7</v>
      </c>
      <c r="I20" s="17">
        <f t="shared" si="0"/>
        <v>-2066.6000000000004</v>
      </c>
      <c r="J20" s="22">
        <f aca="true" t="shared" si="3" ref="J20:J27">H20/G20*100</f>
        <v>49.63565910364828</v>
      </c>
      <c r="K20" s="23">
        <f t="shared" si="1"/>
        <v>-4218</v>
      </c>
      <c r="L20" s="24">
        <f t="shared" si="2"/>
        <v>32.56271283994436</v>
      </c>
      <c r="M20" s="25"/>
      <c r="N20" s="24">
        <v>2937.6</v>
      </c>
      <c r="O20" s="24">
        <v>6254.7</v>
      </c>
    </row>
    <row r="21" spans="1:15" s="39" customFormat="1" ht="15.75">
      <c r="A21" s="107"/>
      <c r="B21" s="109"/>
      <c r="C21" s="31"/>
      <c r="D21" s="32" t="s">
        <v>46</v>
      </c>
      <c r="E21" s="33">
        <f>SUM(E7:E20)</f>
        <v>1795814.0000000002</v>
      </c>
      <c r="F21" s="33">
        <f>SUM(F7:F20)</f>
        <v>1668266.9</v>
      </c>
      <c r="G21" s="33">
        <f>SUM(G7:G20)</f>
        <v>1425505.9000000001</v>
      </c>
      <c r="H21" s="33">
        <f>SUM(H7:H20)</f>
        <v>1139667</v>
      </c>
      <c r="I21" s="34">
        <f t="shared" si="0"/>
        <v>-285838.90000000014</v>
      </c>
      <c r="J21" s="35">
        <f t="shared" si="3"/>
        <v>79.94824854811193</v>
      </c>
      <c r="K21" s="36">
        <f t="shared" si="1"/>
        <v>-528599.8999999999</v>
      </c>
      <c r="L21" s="37">
        <f t="shared" si="2"/>
        <v>68.31442858453885</v>
      </c>
      <c r="M21" s="38">
        <f>SUM(M7:M20)</f>
        <v>483.8</v>
      </c>
      <c r="N21" s="33">
        <f>SUM(N7:N20)</f>
        <v>1145227.0000000002</v>
      </c>
      <c r="O21" s="33">
        <f>SUM(O7:O20)</f>
        <v>1113269.1999999997</v>
      </c>
    </row>
    <row r="22" spans="1:15" ht="15.75">
      <c r="A22" s="113" t="s">
        <v>47</v>
      </c>
      <c r="B22" s="114" t="s">
        <v>48</v>
      </c>
      <c r="C22" s="20" t="s">
        <v>49</v>
      </c>
      <c r="D22" s="26" t="s">
        <v>50</v>
      </c>
      <c r="E22" s="16">
        <v>4117281</v>
      </c>
      <c r="F22" s="42">
        <v>5757879.3</v>
      </c>
      <c r="G22" s="16">
        <v>3969247.7</v>
      </c>
      <c r="H22" s="16">
        <v>5831495.1</v>
      </c>
      <c r="I22" s="17">
        <f t="shared" si="0"/>
        <v>1862247.3999999994</v>
      </c>
      <c r="J22" s="22">
        <f t="shared" si="3"/>
        <v>146.91688553475763</v>
      </c>
      <c r="K22" s="23">
        <f t="shared" si="1"/>
        <v>73615.79999999981</v>
      </c>
      <c r="L22" s="24">
        <f t="shared" si="2"/>
        <v>101.27852280613108</v>
      </c>
      <c r="M22" s="25">
        <v>6062928.6</v>
      </c>
      <c r="N22" s="24">
        <v>5523849.9</v>
      </c>
      <c r="O22" s="24">
        <v>5747143</v>
      </c>
    </row>
    <row r="23" spans="1:15" ht="15.75">
      <c r="A23" s="109"/>
      <c r="B23" s="114"/>
      <c r="C23" s="20" t="s">
        <v>51</v>
      </c>
      <c r="D23" s="26" t="s">
        <v>52</v>
      </c>
      <c r="E23" s="16">
        <v>389679.6</v>
      </c>
      <c r="F23" s="16">
        <v>431806</v>
      </c>
      <c r="G23" s="16">
        <v>314139.2</v>
      </c>
      <c r="H23" s="16">
        <v>448438.3</v>
      </c>
      <c r="I23" s="17">
        <f t="shared" si="0"/>
        <v>134299.09999999998</v>
      </c>
      <c r="J23" s="22">
        <f t="shared" si="3"/>
        <v>142.75146177236078</v>
      </c>
      <c r="K23" s="23">
        <f t="shared" si="1"/>
        <v>16632.29999999999</v>
      </c>
      <c r="L23" s="24">
        <f t="shared" si="2"/>
        <v>103.85179918759813</v>
      </c>
      <c r="M23" s="43">
        <v>436225</v>
      </c>
      <c r="N23" s="24">
        <v>444803</v>
      </c>
      <c r="O23" s="24">
        <v>444803</v>
      </c>
    </row>
    <row r="24" spans="1:15" ht="15.75">
      <c r="A24" s="109"/>
      <c r="B24" s="114"/>
      <c r="C24" s="20" t="s">
        <v>53</v>
      </c>
      <c r="D24" s="26" t="s">
        <v>54</v>
      </c>
      <c r="E24" s="16">
        <v>640.3</v>
      </c>
      <c r="F24" s="16">
        <v>1208</v>
      </c>
      <c r="G24" s="16">
        <v>1205.5</v>
      </c>
      <c r="H24" s="16">
        <v>167.7</v>
      </c>
      <c r="I24" s="17">
        <f t="shared" si="0"/>
        <v>-1037.8</v>
      </c>
      <c r="J24" s="22">
        <f t="shared" si="3"/>
        <v>13.911240149315635</v>
      </c>
      <c r="K24" s="23">
        <f t="shared" si="1"/>
        <v>-1040.3</v>
      </c>
      <c r="L24" s="24">
        <f t="shared" si="2"/>
        <v>13.882450331125826</v>
      </c>
      <c r="M24" s="25">
        <v>205.4</v>
      </c>
      <c r="N24" s="24">
        <v>205.4</v>
      </c>
      <c r="O24" s="24">
        <v>205.4</v>
      </c>
    </row>
    <row r="25" spans="1:15" ht="15.75">
      <c r="A25" s="109"/>
      <c r="B25" s="114"/>
      <c r="C25" s="20" t="s">
        <v>55</v>
      </c>
      <c r="D25" s="26" t="s">
        <v>56</v>
      </c>
      <c r="E25" s="16">
        <v>100378.3</v>
      </c>
      <c r="F25" s="16">
        <v>110629.4</v>
      </c>
      <c r="G25" s="16">
        <v>82908.1</v>
      </c>
      <c r="H25" s="16">
        <v>121081.3</v>
      </c>
      <c r="I25" s="17">
        <f t="shared" si="0"/>
        <v>38173.2</v>
      </c>
      <c r="J25" s="22">
        <f t="shared" si="3"/>
        <v>146.04278713418833</v>
      </c>
      <c r="K25" s="23">
        <f t="shared" si="1"/>
        <v>10451.900000000009</v>
      </c>
      <c r="L25" s="24">
        <f t="shared" si="2"/>
        <v>109.44766942602962</v>
      </c>
      <c r="M25" s="43">
        <v>113391</v>
      </c>
      <c r="N25" s="24">
        <v>113391</v>
      </c>
      <c r="O25" s="24">
        <v>113391</v>
      </c>
    </row>
    <row r="26" spans="1:15" ht="15.75">
      <c r="A26" s="109"/>
      <c r="B26" s="114"/>
      <c r="C26" s="20" t="s">
        <v>57</v>
      </c>
      <c r="D26" s="26" t="s">
        <v>58</v>
      </c>
      <c r="E26" s="16">
        <v>2124853.4</v>
      </c>
      <c r="F26" s="16">
        <v>2131261</v>
      </c>
      <c r="G26" s="16">
        <v>1538723.2</v>
      </c>
      <c r="H26" s="16">
        <v>2580582.1</v>
      </c>
      <c r="I26" s="17">
        <f t="shared" si="0"/>
        <v>1041858.9000000001</v>
      </c>
      <c r="J26" s="22">
        <f t="shared" si="3"/>
        <v>167.70931250012998</v>
      </c>
      <c r="K26" s="23">
        <f t="shared" si="1"/>
        <v>449321.1000000001</v>
      </c>
      <c r="L26" s="24">
        <f t="shared" si="2"/>
        <v>121.08240614359293</v>
      </c>
      <c r="M26" s="43">
        <v>2320048</v>
      </c>
      <c r="N26" s="24">
        <v>2320048</v>
      </c>
      <c r="O26" s="24">
        <v>2432736.3</v>
      </c>
    </row>
    <row r="27" spans="1:15" ht="15.75">
      <c r="A27" s="109"/>
      <c r="B27" s="114"/>
      <c r="C27" s="20" t="s">
        <v>59</v>
      </c>
      <c r="D27" s="26" t="s">
        <v>60</v>
      </c>
      <c r="E27" s="16">
        <v>37151.4</v>
      </c>
      <c r="F27" s="16">
        <v>35895</v>
      </c>
      <c r="G27" s="16">
        <v>24959</v>
      </c>
      <c r="H27" s="16">
        <v>59359.8</v>
      </c>
      <c r="I27" s="17">
        <f t="shared" si="0"/>
        <v>34400.8</v>
      </c>
      <c r="J27" s="22">
        <f t="shared" si="3"/>
        <v>237.8292399535238</v>
      </c>
      <c r="K27" s="23">
        <f t="shared" si="1"/>
        <v>23464.800000000003</v>
      </c>
      <c r="L27" s="24">
        <f t="shared" si="2"/>
        <v>165.37066443794401</v>
      </c>
      <c r="M27" s="43">
        <v>41051.9</v>
      </c>
      <c r="N27" s="24">
        <v>45051.9</v>
      </c>
      <c r="O27" s="24">
        <v>55138.4</v>
      </c>
    </row>
    <row r="28" spans="1:15" ht="15.75">
      <c r="A28" s="109"/>
      <c r="B28" s="114"/>
      <c r="C28" s="20" t="s">
        <v>61</v>
      </c>
      <c r="D28" s="26" t="s">
        <v>62</v>
      </c>
      <c r="E28" s="16">
        <v>45672.9</v>
      </c>
      <c r="F28" s="16"/>
      <c r="G28" s="16"/>
      <c r="H28" s="16">
        <v>63019.2</v>
      </c>
      <c r="I28" s="17">
        <f t="shared" si="0"/>
        <v>63019.2</v>
      </c>
      <c r="J28" s="22"/>
      <c r="K28" s="23">
        <f t="shared" si="1"/>
        <v>63019.2</v>
      </c>
      <c r="L28" s="24"/>
      <c r="M28" s="25">
        <v>54089.6</v>
      </c>
      <c r="N28" s="24">
        <v>65172.2</v>
      </c>
      <c r="O28" s="24">
        <v>62180.3</v>
      </c>
    </row>
    <row r="29" spans="1:15" ht="15.75">
      <c r="A29" s="109"/>
      <c r="B29" s="114"/>
      <c r="C29" s="20" t="s">
        <v>38</v>
      </c>
      <c r="D29" s="26" t="s">
        <v>39</v>
      </c>
      <c r="E29" s="44">
        <f>1955.5+547.7+9820.9+4596.3+286.7</f>
        <v>17207.1</v>
      </c>
      <c r="F29" s="16">
        <v>10841</v>
      </c>
      <c r="G29" s="16">
        <v>7409.6</v>
      </c>
      <c r="H29" s="16">
        <v>16562.7</v>
      </c>
      <c r="I29" s="17">
        <f t="shared" si="0"/>
        <v>9153.1</v>
      </c>
      <c r="J29" s="22">
        <f>H29/G29*100</f>
        <v>223.53028503562945</v>
      </c>
      <c r="K29" s="23">
        <f t="shared" si="1"/>
        <v>5721.700000000001</v>
      </c>
      <c r="L29" s="24">
        <f t="shared" si="2"/>
        <v>152.77834148141315</v>
      </c>
      <c r="M29" s="25">
        <v>10735</v>
      </c>
      <c r="N29" s="24">
        <v>14046.1</v>
      </c>
      <c r="O29" s="24">
        <v>14046.1</v>
      </c>
    </row>
    <row r="30" spans="1:15" s="39" customFormat="1" ht="15.75">
      <c r="A30" s="109"/>
      <c r="B30" s="114"/>
      <c r="C30" s="45"/>
      <c r="D30" s="32" t="s">
        <v>46</v>
      </c>
      <c r="E30" s="33">
        <f>SUM(E22:E29)</f>
        <v>6832864</v>
      </c>
      <c r="F30" s="33">
        <f>SUM(F22:F29)</f>
        <v>8479519.7</v>
      </c>
      <c r="G30" s="33">
        <f>SUM(G22:G29)</f>
        <v>5938592.3</v>
      </c>
      <c r="H30" s="33">
        <f>SUM(H22:H29)</f>
        <v>9120706.2</v>
      </c>
      <c r="I30" s="34">
        <f t="shared" si="0"/>
        <v>3182113.8999999994</v>
      </c>
      <c r="J30" s="35">
        <f>H30/G30*100</f>
        <v>153.58363967837965</v>
      </c>
      <c r="K30" s="36">
        <f t="shared" si="1"/>
        <v>641186.5</v>
      </c>
      <c r="L30" s="37">
        <f t="shared" si="2"/>
        <v>107.56158983863202</v>
      </c>
      <c r="M30" s="38">
        <f>SUM(M22:M29)</f>
        <v>9038674.5</v>
      </c>
      <c r="N30" s="33">
        <f>SUM(N22:N29)</f>
        <v>8526567.5</v>
      </c>
      <c r="O30" s="33">
        <f>SUM(O22:O29)</f>
        <v>8869643.5</v>
      </c>
    </row>
    <row r="31" spans="1:15" ht="15.75">
      <c r="A31" s="115" t="s">
        <v>63</v>
      </c>
      <c r="B31" s="114" t="s">
        <v>64</v>
      </c>
      <c r="C31" s="20" t="s">
        <v>65</v>
      </c>
      <c r="D31" s="26" t="s">
        <v>66</v>
      </c>
      <c r="E31" s="16">
        <v>98956.8</v>
      </c>
      <c r="F31" s="16">
        <v>107932</v>
      </c>
      <c r="G31" s="16">
        <v>80132</v>
      </c>
      <c r="H31" s="16">
        <f>96015.9+1677+460.9</f>
        <v>98153.79999999999</v>
      </c>
      <c r="I31" s="17">
        <f t="shared" si="0"/>
        <v>18021.79999999999</v>
      </c>
      <c r="J31" s="22">
        <f>H31/G31*100</f>
        <v>122.49014126690957</v>
      </c>
      <c r="K31" s="23">
        <f t="shared" si="1"/>
        <v>-9778.200000000012</v>
      </c>
      <c r="L31" s="24">
        <f t="shared" si="2"/>
        <v>90.94040692287736</v>
      </c>
      <c r="M31" s="25">
        <v>105595.3</v>
      </c>
      <c r="N31" s="24">
        <v>101511.4</v>
      </c>
      <c r="O31" s="24">
        <v>96550</v>
      </c>
    </row>
    <row r="32" spans="1:15" ht="31.5">
      <c r="A32" s="115"/>
      <c r="B32" s="114"/>
      <c r="C32" s="20" t="s">
        <v>28</v>
      </c>
      <c r="D32" s="29" t="s">
        <v>29</v>
      </c>
      <c r="E32" s="44">
        <v>99</v>
      </c>
      <c r="F32" s="16"/>
      <c r="G32" s="16"/>
      <c r="H32" s="16">
        <v>10.3</v>
      </c>
      <c r="I32" s="17">
        <f t="shared" si="0"/>
        <v>10.3</v>
      </c>
      <c r="J32" s="22"/>
      <c r="K32" s="23">
        <f t="shared" si="1"/>
        <v>10.3</v>
      </c>
      <c r="L32" s="24"/>
      <c r="M32" s="25"/>
      <c r="N32" s="24">
        <v>10.3</v>
      </c>
      <c r="O32" s="24">
        <v>10.3</v>
      </c>
    </row>
    <row r="33" spans="1:15" ht="15.75">
      <c r="A33" s="115"/>
      <c r="B33" s="114"/>
      <c r="C33" s="20" t="s">
        <v>38</v>
      </c>
      <c r="D33" s="26" t="s">
        <v>39</v>
      </c>
      <c r="E33" s="44">
        <v>41277.3</v>
      </c>
      <c r="F33" s="16">
        <v>66043.5</v>
      </c>
      <c r="G33" s="16">
        <v>43507.8</v>
      </c>
      <c r="H33" s="16">
        <v>71958.5</v>
      </c>
      <c r="I33" s="17">
        <f t="shared" si="0"/>
        <v>28450.699999999997</v>
      </c>
      <c r="J33" s="22">
        <f>H33/G33*100</f>
        <v>165.39218255117473</v>
      </c>
      <c r="K33" s="23">
        <f t="shared" si="1"/>
        <v>5915</v>
      </c>
      <c r="L33" s="24">
        <f t="shared" si="2"/>
        <v>108.95621825009275</v>
      </c>
      <c r="M33" s="25">
        <v>69051.7</v>
      </c>
      <c r="N33" s="24">
        <v>69043.5</v>
      </c>
      <c r="O33" s="24">
        <v>69043.5</v>
      </c>
    </row>
    <row r="34" spans="1:15" ht="15.75" customHeight="1" hidden="1">
      <c r="A34" s="115"/>
      <c r="B34" s="114"/>
      <c r="C34" s="20" t="s">
        <v>42</v>
      </c>
      <c r="D34" s="26" t="s">
        <v>43</v>
      </c>
      <c r="E34" s="44"/>
      <c r="F34" s="16"/>
      <c r="G34" s="16"/>
      <c r="H34" s="16"/>
      <c r="I34" s="17">
        <f t="shared" si="0"/>
        <v>0</v>
      </c>
      <c r="J34" s="22"/>
      <c r="K34" s="23">
        <f t="shared" si="1"/>
        <v>0</v>
      </c>
      <c r="L34" s="24" t="e">
        <f t="shared" si="2"/>
        <v>#DIV/0!</v>
      </c>
      <c r="M34" s="25"/>
      <c r="N34" s="24"/>
      <c r="O34" s="24"/>
    </row>
    <row r="35" spans="1:15" ht="15.75">
      <c r="A35" s="115"/>
      <c r="B35" s="114"/>
      <c r="C35" s="20" t="s">
        <v>67</v>
      </c>
      <c r="D35" s="28" t="s">
        <v>68</v>
      </c>
      <c r="E35" s="44"/>
      <c r="F35" s="16">
        <v>249291.4</v>
      </c>
      <c r="G35" s="16">
        <v>178646.1</v>
      </c>
      <c r="H35" s="16">
        <f>206718.5+42572.9</f>
        <v>249291.4</v>
      </c>
      <c r="I35" s="17">
        <f t="shared" si="0"/>
        <v>70645.29999999999</v>
      </c>
      <c r="J35" s="22">
        <f>H35/G35*100</f>
        <v>139.54483193307885</v>
      </c>
      <c r="K35" s="23">
        <f t="shared" si="1"/>
        <v>0</v>
      </c>
      <c r="L35" s="24">
        <f t="shared" si="2"/>
        <v>100</v>
      </c>
      <c r="M35" s="25"/>
      <c r="N35" s="16">
        <v>228676.8</v>
      </c>
      <c r="O35" s="16">
        <v>249291.4</v>
      </c>
    </row>
    <row r="36" spans="1:15" ht="15.75" customHeight="1" hidden="1">
      <c r="A36" s="115"/>
      <c r="B36" s="114"/>
      <c r="C36" s="20" t="s">
        <v>44</v>
      </c>
      <c r="D36" s="26" t="s">
        <v>45</v>
      </c>
      <c r="E36" s="16"/>
      <c r="F36" s="16"/>
      <c r="G36" s="16"/>
      <c r="H36" s="16"/>
      <c r="I36" s="17">
        <f t="shared" si="0"/>
        <v>0</v>
      </c>
      <c r="J36" s="22"/>
      <c r="K36" s="23">
        <f t="shared" si="1"/>
        <v>0</v>
      </c>
      <c r="L36" s="24" t="e">
        <f t="shared" si="2"/>
        <v>#DIV/0!</v>
      </c>
      <c r="M36" s="25"/>
      <c r="N36" s="24"/>
      <c r="O36" s="24"/>
    </row>
    <row r="37" spans="1:15" s="39" customFormat="1" ht="15.75">
      <c r="A37" s="116"/>
      <c r="B37" s="116"/>
      <c r="C37" s="9"/>
      <c r="D37" s="32" t="s">
        <v>46</v>
      </c>
      <c r="E37" s="33">
        <f>SUM(E31:E36)</f>
        <v>140333.1</v>
      </c>
      <c r="F37" s="33">
        <f>SUM(F31:F36)</f>
        <v>423266.9</v>
      </c>
      <c r="G37" s="33">
        <f>SUM(G31:G36)</f>
        <v>302285.9</v>
      </c>
      <c r="H37" s="33">
        <f>SUM(H31:H36)</f>
        <v>419414</v>
      </c>
      <c r="I37" s="34">
        <f t="shared" si="0"/>
        <v>117128.09999999998</v>
      </c>
      <c r="J37" s="35">
        <f aca="true" t="shared" si="4" ref="J37:J46">H37/G37*100</f>
        <v>138.74745729125968</v>
      </c>
      <c r="K37" s="36">
        <f t="shared" si="1"/>
        <v>-3852.9000000000233</v>
      </c>
      <c r="L37" s="37">
        <f t="shared" si="2"/>
        <v>99.08972329279705</v>
      </c>
      <c r="M37" s="46">
        <f>SUM(M31:M35)</f>
        <v>174647</v>
      </c>
      <c r="N37" s="37">
        <f>SUM(N31:N35)</f>
        <v>399242</v>
      </c>
      <c r="O37" s="37">
        <f>SUM(O31:O35)</f>
        <v>414895.19999999995</v>
      </c>
    </row>
    <row r="38" spans="1:15" ht="67.5" customHeight="1">
      <c r="A38" s="115" t="s">
        <v>69</v>
      </c>
      <c r="B38" s="114" t="s">
        <v>70</v>
      </c>
      <c r="C38" s="47" t="s">
        <v>71</v>
      </c>
      <c r="D38" s="48" t="s">
        <v>72</v>
      </c>
      <c r="E38" s="16">
        <v>335.3</v>
      </c>
      <c r="F38" s="16">
        <v>198</v>
      </c>
      <c r="G38" s="16">
        <v>155</v>
      </c>
      <c r="H38" s="16">
        <v>229.4</v>
      </c>
      <c r="I38" s="17">
        <f t="shared" si="0"/>
        <v>74.4</v>
      </c>
      <c r="J38" s="22">
        <f t="shared" si="4"/>
        <v>148</v>
      </c>
      <c r="K38" s="23">
        <f t="shared" si="1"/>
        <v>31.400000000000006</v>
      </c>
      <c r="L38" s="24">
        <f t="shared" si="2"/>
        <v>115.85858585858585</v>
      </c>
      <c r="M38" s="25">
        <v>350.4</v>
      </c>
      <c r="N38" s="24">
        <v>350</v>
      </c>
      <c r="O38" s="49">
        <v>230</v>
      </c>
    </row>
    <row r="39" spans="1:15" ht="31.5" customHeight="1" hidden="1">
      <c r="A39" s="115"/>
      <c r="B39" s="114"/>
      <c r="C39" s="50" t="s">
        <v>73</v>
      </c>
      <c r="D39" s="48" t="s">
        <v>74</v>
      </c>
      <c r="E39" s="16"/>
      <c r="F39" s="16"/>
      <c r="G39" s="16"/>
      <c r="H39" s="16"/>
      <c r="I39" s="17">
        <f t="shared" si="0"/>
        <v>0</v>
      </c>
      <c r="J39" s="22"/>
      <c r="K39" s="23">
        <f t="shared" si="1"/>
        <v>0</v>
      </c>
      <c r="L39" s="24"/>
      <c r="M39" s="25"/>
      <c r="N39" s="24"/>
      <c r="O39" s="49"/>
    </row>
    <row r="40" spans="1:15" ht="63">
      <c r="A40" s="115"/>
      <c r="B40" s="114"/>
      <c r="C40" s="51" t="s">
        <v>75</v>
      </c>
      <c r="D40" s="48" t="s">
        <v>76</v>
      </c>
      <c r="E40" s="16"/>
      <c r="F40" s="16"/>
      <c r="G40" s="16"/>
      <c r="H40" s="16">
        <v>360.3</v>
      </c>
      <c r="I40" s="17">
        <f t="shared" si="0"/>
        <v>360.3</v>
      </c>
      <c r="J40" s="22"/>
      <c r="K40" s="23">
        <f t="shared" si="1"/>
        <v>360.3</v>
      </c>
      <c r="L40" s="24"/>
      <c r="M40" s="25">
        <v>225</v>
      </c>
      <c r="N40" s="24">
        <v>300</v>
      </c>
      <c r="O40" s="49">
        <v>343.7</v>
      </c>
    </row>
    <row r="41" spans="1:15" ht="21.75" customHeight="1">
      <c r="A41" s="115"/>
      <c r="B41" s="114"/>
      <c r="C41" s="52" t="s">
        <v>38</v>
      </c>
      <c r="D41" s="26" t="s">
        <v>39</v>
      </c>
      <c r="E41" s="44">
        <f>1034.1+110.3</f>
        <v>1144.3999999999999</v>
      </c>
      <c r="F41" s="16">
        <v>80</v>
      </c>
      <c r="G41" s="16">
        <v>57</v>
      </c>
      <c r="H41" s="16">
        <f>1620.1+148.8</f>
        <v>1768.8999999999999</v>
      </c>
      <c r="I41" s="17">
        <f t="shared" si="0"/>
        <v>1711.8999999999999</v>
      </c>
      <c r="J41" s="22">
        <f t="shared" si="4"/>
        <v>3103.333333333333</v>
      </c>
      <c r="K41" s="23">
        <f t="shared" si="1"/>
        <v>1688.8999999999999</v>
      </c>
      <c r="L41" s="24">
        <f t="shared" si="2"/>
        <v>2211.125</v>
      </c>
      <c r="M41" s="25">
        <f>100+1500</f>
        <v>1600</v>
      </c>
      <c r="N41" s="24">
        <v>1623.4</v>
      </c>
      <c r="O41" s="24">
        <v>1623.4</v>
      </c>
    </row>
    <row r="42" spans="1:15" s="39" customFormat="1" ht="22.5" customHeight="1">
      <c r="A42" s="116"/>
      <c r="B42" s="116"/>
      <c r="C42" s="9"/>
      <c r="D42" s="32" t="s">
        <v>46</v>
      </c>
      <c r="E42" s="33">
        <f>SUM(E38:E41)</f>
        <v>1479.6999999999998</v>
      </c>
      <c r="F42" s="33">
        <f>SUM(F38:F41)</f>
        <v>278</v>
      </c>
      <c r="G42" s="33">
        <f>SUM(G38:G41)</f>
        <v>212</v>
      </c>
      <c r="H42" s="33">
        <f>SUM(H38:H41)</f>
        <v>2358.6</v>
      </c>
      <c r="I42" s="34">
        <f t="shared" si="0"/>
        <v>2146.6</v>
      </c>
      <c r="J42" s="35">
        <f t="shared" si="4"/>
        <v>1112.5471698113208</v>
      </c>
      <c r="K42" s="36">
        <f t="shared" si="1"/>
        <v>2080.6</v>
      </c>
      <c r="L42" s="37">
        <f t="shared" si="2"/>
        <v>848.4172661870502</v>
      </c>
      <c r="M42" s="46">
        <f>SUM(M38:M41)</f>
        <v>2175.4</v>
      </c>
      <c r="N42" s="37">
        <f>SUM(N38:N41)</f>
        <v>2273.4</v>
      </c>
      <c r="O42" s="37">
        <f>SUM(O38:O41)</f>
        <v>2197.1000000000004</v>
      </c>
    </row>
    <row r="43" spans="1:15" ht="15.75">
      <c r="A43" s="113" t="s">
        <v>77</v>
      </c>
      <c r="B43" s="114" t="s">
        <v>78</v>
      </c>
      <c r="C43" s="20" t="s">
        <v>79</v>
      </c>
      <c r="D43" s="26" t="s">
        <v>80</v>
      </c>
      <c r="E43" s="44">
        <v>26663.5</v>
      </c>
      <c r="F43" s="16">
        <v>18726.9</v>
      </c>
      <c r="G43" s="16">
        <v>13951.5</v>
      </c>
      <c r="H43" s="16">
        <v>20546.8</v>
      </c>
      <c r="I43" s="17">
        <f t="shared" si="0"/>
        <v>6595.299999999999</v>
      </c>
      <c r="J43" s="22">
        <f t="shared" si="4"/>
        <v>147.2730530767301</v>
      </c>
      <c r="K43" s="23">
        <f t="shared" si="1"/>
        <v>1819.8999999999978</v>
      </c>
      <c r="L43" s="24">
        <f t="shared" si="2"/>
        <v>109.71810603997456</v>
      </c>
      <c r="M43" s="25">
        <v>21649.9</v>
      </c>
      <c r="N43" s="24">
        <v>21649.9</v>
      </c>
      <c r="O43" s="24">
        <v>18726.9</v>
      </c>
    </row>
    <row r="44" spans="1:15" ht="15.75">
      <c r="A44" s="113"/>
      <c r="B44" s="114"/>
      <c r="C44" s="20" t="s">
        <v>38</v>
      </c>
      <c r="D44" s="26" t="s">
        <v>39</v>
      </c>
      <c r="E44" s="44">
        <f>145+170+3522.3+2898.6</f>
        <v>6735.9</v>
      </c>
      <c r="F44" s="16">
        <v>825</v>
      </c>
      <c r="G44" s="16">
        <v>490.2</v>
      </c>
      <c r="H44" s="16">
        <v>8005.6</v>
      </c>
      <c r="I44" s="17">
        <f t="shared" si="0"/>
        <v>7515.400000000001</v>
      </c>
      <c r="J44" s="22">
        <f t="shared" si="4"/>
        <v>1633.1293349653204</v>
      </c>
      <c r="K44" s="23">
        <f t="shared" si="1"/>
        <v>7180.6</v>
      </c>
      <c r="L44" s="24">
        <f t="shared" si="2"/>
        <v>970.3757575757576</v>
      </c>
      <c r="M44" s="25">
        <v>6898.2</v>
      </c>
      <c r="N44" s="24">
        <v>7635.6</v>
      </c>
      <c r="O44" s="24">
        <v>7635.6</v>
      </c>
    </row>
    <row r="45" spans="1:15" s="39" customFormat="1" ht="15.75">
      <c r="A45" s="113"/>
      <c r="B45" s="109"/>
      <c r="C45" s="31"/>
      <c r="D45" s="32" t="s">
        <v>46</v>
      </c>
      <c r="E45" s="33">
        <f>SUM(E43:E44)</f>
        <v>33399.4</v>
      </c>
      <c r="F45" s="33">
        <f>SUM(F43:F44)</f>
        <v>19551.9</v>
      </c>
      <c r="G45" s="33">
        <f>SUM(G43:G44)</f>
        <v>14441.7</v>
      </c>
      <c r="H45" s="33">
        <f>SUM(H43:H44)</f>
        <v>28552.4</v>
      </c>
      <c r="I45" s="34">
        <f t="shared" si="0"/>
        <v>14110.7</v>
      </c>
      <c r="J45" s="35">
        <f t="shared" si="4"/>
        <v>197.70802606341357</v>
      </c>
      <c r="K45" s="36">
        <f t="shared" si="1"/>
        <v>9000.5</v>
      </c>
      <c r="L45" s="37">
        <f t="shared" si="2"/>
        <v>146.03388928953197</v>
      </c>
      <c r="M45" s="53">
        <f>SUM(M43:M44)</f>
        <v>28548.100000000002</v>
      </c>
      <c r="N45" s="54">
        <f>SUM(N43:N44)</f>
        <v>29285.5</v>
      </c>
      <c r="O45" s="54">
        <f>SUM(O43:O44)</f>
        <v>26362.5</v>
      </c>
    </row>
    <row r="46" spans="1:15" ht="31.5" customHeight="1" hidden="1">
      <c r="A46" s="113" t="s">
        <v>81</v>
      </c>
      <c r="B46" s="114" t="s">
        <v>82</v>
      </c>
      <c r="C46" s="20" t="s">
        <v>83</v>
      </c>
      <c r="D46" s="26" t="s">
        <v>84</v>
      </c>
      <c r="E46" s="16"/>
      <c r="F46" s="16"/>
      <c r="G46" s="16"/>
      <c r="H46" s="16"/>
      <c r="I46" s="17">
        <f t="shared" si="0"/>
        <v>0</v>
      </c>
      <c r="J46" s="35" t="e">
        <f t="shared" si="4"/>
        <v>#DIV/0!</v>
      </c>
      <c r="K46" s="23">
        <f t="shared" si="1"/>
        <v>0</v>
      </c>
      <c r="L46" s="24" t="e">
        <f t="shared" si="2"/>
        <v>#DIV/0!</v>
      </c>
      <c r="M46" s="25"/>
      <c r="N46" s="24"/>
      <c r="O46" s="24"/>
    </row>
    <row r="47" spans="1:15" ht="31.5">
      <c r="A47" s="113"/>
      <c r="B47" s="114"/>
      <c r="C47" s="20" t="s">
        <v>28</v>
      </c>
      <c r="D47" s="29" t="s">
        <v>29</v>
      </c>
      <c r="E47" s="16">
        <v>-14.2</v>
      </c>
      <c r="F47" s="16"/>
      <c r="G47" s="16"/>
      <c r="H47" s="16">
        <v>274</v>
      </c>
      <c r="I47" s="17">
        <f t="shared" si="0"/>
        <v>274</v>
      </c>
      <c r="J47" s="35"/>
      <c r="K47" s="23">
        <f t="shared" si="1"/>
        <v>274</v>
      </c>
      <c r="L47" s="24"/>
      <c r="M47" s="25"/>
      <c r="N47" s="16">
        <v>0.8</v>
      </c>
      <c r="O47" s="16">
        <v>0.8</v>
      </c>
    </row>
    <row r="48" spans="1:15" ht="15.75">
      <c r="A48" s="113"/>
      <c r="B48" s="114"/>
      <c r="C48" s="20" t="s">
        <v>38</v>
      </c>
      <c r="D48" s="26" t="s">
        <v>39</v>
      </c>
      <c r="E48" s="16">
        <v>2894.4</v>
      </c>
      <c r="F48" s="16">
        <v>3000</v>
      </c>
      <c r="G48" s="16">
        <v>2100</v>
      </c>
      <c r="H48" s="16">
        <v>6364.6</v>
      </c>
      <c r="I48" s="17">
        <f t="shared" si="0"/>
        <v>4264.6</v>
      </c>
      <c r="J48" s="22">
        <f>H48/G48*100</f>
        <v>303.0761904761905</v>
      </c>
      <c r="K48" s="23">
        <f t="shared" si="1"/>
        <v>3364.6000000000004</v>
      </c>
      <c r="L48" s="24">
        <f t="shared" si="2"/>
        <v>212.15333333333334</v>
      </c>
      <c r="M48" s="25">
        <v>5663.1</v>
      </c>
      <c r="N48" s="24">
        <v>5477</v>
      </c>
      <c r="O48" s="24">
        <v>5477</v>
      </c>
    </row>
    <row r="49" spans="1:15" ht="15.75">
      <c r="A49" s="113"/>
      <c r="B49" s="114"/>
      <c r="C49" s="20" t="s">
        <v>40</v>
      </c>
      <c r="D49" s="26" t="s">
        <v>41</v>
      </c>
      <c r="E49" s="16">
        <v>-211.1</v>
      </c>
      <c r="F49" s="16"/>
      <c r="G49" s="16"/>
      <c r="H49" s="16">
        <v>43.3</v>
      </c>
      <c r="I49" s="17">
        <f t="shared" si="0"/>
        <v>43.3</v>
      </c>
      <c r="J49" s="22"/>
      <c r="K49" s="23">
        <f t="shared" si="1"/>
        <v>43.3</v>
      </c>
      <c r="L49" s="24"/>
      <c r="M49" s="25"/>
      <c r="N49" s="24"/>
      <c r="O49" s="24"/>
    </row>
    <row r="50" spans="1:15" ht="15.75">
      <c r="A50" s="113"/>
      <c r="B50" s="114"/>
      <c r="C50" s="20" t="s">
        <v>42</v>
      </c>
      <c r="D50" s="26" t="s">
        <v>43</v>
      </c>
      <c r="E50" s="16">
        <v>2318</v>
      </c>
      <c r="F50" s="16"/>
      <c r="G50" s="16"/>
      <c r="H50" s="16">
        <v>330.9</v>
      </c>
      <c r="I50" s="17">
        <f t="shared" si="0"/>
        <v>330.9</v>
      </c>
      <c r="J50" s="22"/>
      <c r="K50" s="23">
        <f t="shared" si="1"/>
        <v>330.9</v>
      </c>
      <c r="L50" s="24"/>
      <c r="M50" s="25"/>
      <c r="N50" s="24"/>
      <c r="O50" s="24"/>
    </row>
    <row r="51" spans="1:15" ht="31.5">
      <c r="A51" s="109"/>
      <c r="B51" s="109"/>
      <c r="C51" s="20" t="s">
        <v>85</v>
      </c>
      <c r="D51" s="26" t="s">
        <v>86</v>
      </c>
      <c r="E51" s="16">
        <v>89.3</v>
      </c>
      <c r="F51" s="16"/>
      <c r="G51" s="16"/>
      <c r="H51" s="16">
        <v>-38.1</v>
      </c>
      <c r="I51" s="17">
        <f t="shared" si="0"/>
        <v>-38.1</v>
      </c>
      <c r="J51" s="22"/>
      <c r="K51" s="23">
        <f t="shared" si="1"/>
        <v>-38.1</v>
      </c>
      <c r="L51" s="24"/>
      <c r="M51" s="25"/>
      <c r="N51" s="24">
        <v>-38.1</v>
      </c>
      <c r="O51" s="24">
        <v>-38.1</v>
      </c>
    </row>
    <row r="52" spans="1:15" ht="15.75">
      <c r="A52" s="109"/>
      <c r="B52" s="109"/>
      <c r="C52" s="20" t="s">
        <v>87</v>
      </c>
      <c r="D52" s="26" t="s">
        <v>88</v>
      </c>
      <c r="E52" s="16">
        <v>-891.2</v>
      </c>
      <c r="F52" s="16"/>
      <c r="G52" s="16"/>
      <c r="H52" s="16"/>
      <c r="I52" s="17">
        <f t="shared" si="0"/>
        <v>0</v>
      </c>
      <c r="J52" s="22"/>
      <c r="K52" s="23">
        <f t="shared" si="1"/>
        <v>0</v>
      </c>
      <c r="L52" s="24"/>
      <c r="M52" s="25"/>
      <c r="N52" s="24"/>
      <c r="O52" s="24"/>
    </row>
    <row r="53" spans="1:15" ht="31.5">
      <c r="A53" s="116"/>
      <c r="B53" s="116"/>
      <c r="C53" s="20" t="s">
        <v>89</v>
      </c>
      <c r="D53" s="26" t="s">
        <v>90</v>
      </c>
      <c r="E53" s="16">
        <v>79521.3</v>
      </c>
      <c r="F53" s="16">
        <f>169646+22854.4</f>
        <v>192500.4</v>
      </c>
      <c r="G53" s="16">
        <v>105406.7</v>
      </c>
      <c r="H53" s="16">
        <v>192500.4</v>
      </c>
      <c r="I53" s="17">
        <f t="shared" si="0"/>
        <v>87093.7</v>
      </c>
      <c r="J53" s="22">
        <f aca="true" t="shared" si="5" ref="J53:J58">H53/G53*100</f>
        <v>182.62634158929177</v>
      </c>
      <c r="K53" s="23">
        <f t="shared" si="1"/>
        <v>0</v>
      </c>
      <c r="L53" s="24">
        <f t="shared" si="2"/>
        <v>100</v>
      </c>
      <c r="M53" s="25"/>
      <c r="N53" s="24">
        <v>192500.4</v>
      </c>
      <c r="O53" s="24">
        <v>192500.4</v>
      </c>
    </row>
    <row r="54" spans="1:15" ht="15.75" customHeight="1" hidden="1">
      <c r="A54" s="116"/>
      <c r="B54" s="116"/>
      <c r="C54" s="20" t="s">
        <v>91</v>
      </c>
      <c r="D54" s="26" t="s">
        <v>92</v>
      </c>
      <c r="E54" s="16"/>
      <c r="F54" s="16"/>
      <c r="G54" s="16"/>
      <c r="H54" s="16"/>
      <c r="I54" s="17">
        <f t="shared" si="0"/>
        <v>0</v>
      </c>
      <c r="J54" s="22" t="e">
        <f t="shared" si="5"/>
        <v>#DIV/0!</v>
      </c>
      <c r="K54" s="23">
        <f t="shared" si="1"/>
        <v>0</v>
      </c>
      <c r="L54" s="24" t="e">
        <f t="shared" si="2"/>
        <v>#DIV/0!</v>
      </c>
      <c r="M54" s="25"/>
      <c r="N54" s="24"/>
      <c r="O54" s="24"/>
    </row>
    <row r="55" spans="1:15" ht="15.75" customHeight="1" hidden="1">
      <c r="A55" s="116"/>
      <c r="B55" s="116"/>
      <c r="C55" s="20" t="s">
        <v>93</v>
      </c>
      <c r="D55" s="26" t="s">
        <v>94</v>
      </c>
      <c r="E55" s="16"/>
      <c r="F55" s="16"/>
      <c r="G55" s="16"/>
      <c r="H55" s="16"/>
      <c r="I55" s="17">
        <f t="shared" si="0"/>
        <v>0</v>
      </c>
      <c r="J55" s="22" t="e">
        <f t="shared" si="5"/>
        <v>#DIV/0!</v>
      </c>
      <c r="K55" s="23">
        <f t="shared" si="1"/>
        <v>0</v>
      </c>
      <c r="L55" s="24" t="e">
        <f t="shared" si="2"/>
        <v>#DIV/0!</v>
      </c>
      <c r="M55" s="25"/>
      <c r="N55" s="24"/>
      <c r="O55" s="24"/>
    </row>
    <row r="56" spans="1:15" ht="15.75">
      <c r="A56" s="116"/>
      <c r="B56" s="116"/>
      <c r="C56" s="20" t="s">
        <v>67</v>
      </c>
      <c r="D56" s="28" t="s">
        <v>68</v>
      </c>
      <c r="E56" s="16"/>
      <c r="F56" s="16">
        <v>100490</v>
      </c>
      <c r="G56" s="16">
        <v>100490</v>
      </c>
      <c r="H56" s="16">
        <v>100490</v>
      </c>
      <c r="I56" s="17">
        <f t="shared" si="0"/>
        <v>0</v>
      </c>
      <c r="J56" s="22">
        <f t="shared" si="5"/>
        <v>100</v>
      </c>
      <c r="K56" s="23">
        <f t="shared" si="1"/>
        <v>0</v>
      </c>
      <c r="L56" s="24">
        <f t="shared" si="2"/>
        <v>100</v>
      </c>
      <c r="M56" s="25"/>
      <c r="N56" s="24">
        <v>100490</v>
      </c>
      <c r="O56" s="16">
        <f>100490+5000</f>
        <v>105490</v>
      </c>
    </row>
    <row r="57" spans="1:15" s="39" customFormat="1" ht="15.75">
      <c r="A57" s="116"/>
      <c r="B57" s="116"/>
      <c r="C57" s="45"/>
      <c r="D57" s="32" t="s">
        <v>46</v>
      </c>
      <c r="E57" s="33">
        <f>SUM(E46:E56)</f>
        <v>83706.5</v>
      </c>
      <c r="F57" s="33">
        <f>SUM(F46:F56)</f>
        <v>295990.4</v>
      </c>
      <c r="G57" s="33">
        <f>SUM(G46:G56)</f>
        <v>207996.7</v>
      </c>
      <c r="H57" s="33">
        <f>SUM(H46:H56)</f>
        <v>299965.1</v>
      </c>
      <c r="I57" s="34">
        <f t="shared" si="0"/>
        <v>91968.39999999997</v>
      </c>
      <c r="J57" s="35">
        <f t="shared" si="5"/>
        <v>144.21627843134047</v>
      </c>
      <c r="K57" s="36">
        <f t="shared" si="1"/>
        <v>3974.6999999999534</v>
      </c>
      <c r="L57" s="37">
        <f t="shared" si="2"/>
        <v>101.34284760586829</v>
      </c>
      <c r="M57" s="53">
        <f>SUM(M47:M56)</f>
        <v>5663.1</v>
      </c>
      <c r="N57" s="54">
        <f>SUM(N47:N56)</f>
        <v>298430.1</v>
      </c>
      <c r="O57" s="54">
        <f>SUM(O47:O56)</f>
        <v>303430.1</v>
      </c>
    </row>
    <row r="58" spans="1:15" ht="63">
      <c r="A58" s="113" t="s">
        <v>95</v>
      </c>
      <c r="B58" s="117" t="s">
        <v>96</v>
      </c>
      <c r="C58" s="27" t="s">
        <v>97</v>
      </c>
      <c r="D58" s="55" t="s">
        <v>98</v>
      </c>
      <c r="E58" s="16">
        <f>416426+8234.7</f>
        <v>424660.7</v>
      </c>
      <c r="F58" s="16">
        <v>461956</v>
      </c>
      <c r="G58" s="44">
        <v>418624.8</v>
      </c>
      <c r="H58" s="44">
        <v>311065.1</v>
      </c>
      <c r="I58" s="17">
        <f t="shared" si="0"/>
        <v>-107559.70000000001</v>
      </c>
      <c r="J58" s="22">
        <f t="shared" si="5"/>
        <v>74.30641949545273</v>
      </c>
      <c r="K58" s="23">
        <f t="shared" si="1"/>
        <v>-150890.90000000002</v>
      </c>
      <c r="L58" s="24">
        <f t="shared" si="2"/>
        <v>67.33652122712985</v>
      </c>
      <c r="M58" s="25"/>
      <c r="N58" s="16">
        <v>308132.3</v>
      </c>
      <c r="O58" s="16">
        <v>311065.2</v>
      </c>
    </row>
    <row r="59" spans="1:15" ht="31.5" customHeight="1">
      <c r="A59" s="113"/>
      <c r="B59" s="118"/>
      <c r="C59" s="20" t="s">
        <v>28</v>
      </c>
      <c r="D59" s="29" t="s">
        <v>29</v>
      </c>
      <c r="E59" s="44">
        <v>2.2</v>
      </c>
      <c r="F59" s="44"/>
      <c r="G59" s="44"/>
      <c r="H59" s="44">
        <v>37</v>
      </c>
      <c r="I59" s="17">
        <f t="shared" si="0"/>
        <v>37</v>
      </c>
      <c r="J59" s="22"/>
      <c r="K59" s="23">
        <f t="shared" si="1"/>
        <v>37</v>
      </c>
      <c r="L59" s="24"/>
      <c r="M59" s="25"/>
      <c r="N59" s="44"/>
      <c r="O59" s="44"/>
    </row>
    <row r="60" spans="1:15" ht="47.25">
      <c r="A60" s="113"/>
      <c r="B60" s="118"/>
      <c r="C60" s="27" t="s">
        <v>99</v>
      </c>
      <c r="D60" s="28" t="s">
        <v>100</v>
      </c>
      <c r="E60" s="44">
        <v>228182.4</v>
      </c>
      <c r="F60" s="44">
        <v>283980</v>
      </c>
      <c r="G60" s="44">
        <v>242214.4</v>
      </c>
      <c r="H60" s="44">
        <v>60150.3</v>
      </c>
      <c r="I60" s="17">
        <f t="shared" si="0"/>
        <v>-182064.09999999998</v>
      </c>
      <c r="J60" s="22">
        <f>H60/G60*100</f>
        <v>24.833494622945622</v>
      </c>
      <c r="K60" s="23">
        <f t="shared" si="1"/>
        <v>-223829.7</v>
      </c>
      <c r="L60" s="24">
        <f t="shared" si="2"/>
        <v>21.18117473061483</v>
      </c>
      <c r="M60" s="25"/>
      <c r="N60" s="44">
        <v>60150.3</v>
      </c>
      <c r="O60" s="44">
        <v>60150.3</v>
      </c>
    </row>
    <row r="61" spans="1:15" ht="31.5">
      <c r="A61" s="113"/>
      <c r="B61" s="118"/>
      <c r="C61" s="27" t="s">
        <v>36</v>
      </c>
      <c r="D61" s="28" t="s">
        <v>37</v>
      </c>
      <c r="E61" s="44">
        <v>80140.9</v>
      </c>
      <c r="F61" s="44"/>
      <c r="G61" s="44"/>
      <c r="H61" s="44"/>
      <c r="I61" s="17">
        <f t="shared" si="0"/>
        <v>0</v>
      </c>
      <c r="J61" s="22"/>
      <c r="K61" s="23">
        <f t="shared" si="1"/>
        <v>0</v>
      </c>
      <c r="L61" s="24"/>
      <c r="M61" s="25"/>
      <c r="N61" s="24"/>
      <c r="O61" s="24"/>
    </row>
    <row r="62" spans="1:15" ht="15.75">
      <c r="A62" s="113"/>
      <c r="B62" s="118"/>
      <c r="C62" s="20" t="s">
        <v>40</v>
      </c>
      <c r="D62" s="26" t="s">
        <v>41</v>
      </c>
      <c r="E62" s="44">
        <v>-0.3</v>
      </c>
      <c r="F62" s="44"/>
      <c r="G62" s="44"/>
      <c r="H62" s="44">
        <v>-749.1</v>
      </c>
      <c r="I62" s="17">
        <f t="shared" si="0"/>
        <v>-749.1</v>
      </c>
      <c r="J62" s="22"/>
      <c r="K62" s="23">
        <f t="shared" si="1"/>
        <v>-749.1</v>
      </c>
      <c r="L62" s="24"/>
      <c r="M62" s="25"/>
      <c r="N62" s="24"/>
      <c r="O62" s="24"/>
    </row>
    <row r="63" spans="1:15" ht="15.75">
      <c r="A63" s="113"/>
      <c r="B63" s="118"/>
      <c r="C63" s="20" t="s">
        <v>101</v>
      </c>
      <c r="D63" s="26" t="s">
        <v>102</v>
      </c>
      <c r="E63" s="44">
        <v>10605.1</v>
      </c>
      <c r="F63" s="44"/>
      <c r="G63" s="16"/>
      <c r="H63" s="16">
        <v>-3349.2</v>
      </c>
      <c r="I63" s="17">
        <f t="shared" si="0"/>
        <v>-3349.2</v>
      </c>
      <c r="J63" s="22"/>
      <c r="K63" s="23">
        <f t="shared" si="1"/>
        <v>-3349.2</v>
      </c>
      <c r="L63" s="24"/>
      <c r="M63" s="25"/>
      <c r="N63" s="24">
        <v>-3349.2</v>
      </c>
      <c r="O63" s="24">
        <v>-3349.2</v>
      </c>
    </row>
    <row r="64" spans="1:15" ht="15.75">
      <c r="A64" s="113"/>
      <c r="B64" s="118"/>
      <c r="C64" s="20" t="s">
        <v>44</v>
      </c>
      <c r="D64" s="26" t="s">
        <v>45</v>
      </c>
      <c r="E64" s="44">
        <v>1339.4</v>
      </c>
      <c r="F64" s="44">
        <v>4455</v>
      </c>
      <c r="G64" s="16">
        <v>3300</v>
      </c>
      <c r="H64" s="16">
        <v>3178</v>
      </c>
      <c r="I64" s="17">
        <f t="shared" si="0"/>
        <v>-122</v>
      </c>
      <c r="J64" s="22">
        <f>H64/G64*100</f>
        <v>96.3030303030303</v>
      </c>
      <c r="K64" s="23">
        <f t="shared" si="1"/>
        <v>-1277</v>
      </c>
      <c r="L64" s="24">
        <f t="shared" si="2"/>
        <v>71.33557800224467</v>
      </c>
      <c r="M64" s="25"/>
      <c r="N64" s="24">
        <v>4455</v>
      </c>
      <c r="O64" s="24">
        <v>4455</v>
      </c>
    </row>
    <row r="65" spans="1:15" s="39" customFormat="1" ht="15.75">
      <c r="A65" s="109"/>
      <c r="B65" s="119"/>
      <c r="C65" s="56"/>
      <c r="D65" s="32" t="s">
        <v>46</v>
      </c>
      <c r="E65" s="33">
        <f>SUM(E58:E58,E59:E64)</f>
        <v>744930.4</v>
      </c>
      <c r="F65" s="33">
        <f>SUM(F58:F58,F59:F64)</f>
        <v>750391</v>
      </c>
      <c r="G65" s="33">
        <f>SUM(G58:G58,G59:G64)</f>
        <v>664139.2</v>
      </c>
      <c r="H65" s="33">
        <f>SUM(H58:H58,H59:H64)</f>
        <v>370332.1</v>
      </c>
      <c r="I65" s="34">
        <f t="shared" si="0"/>
        <v>-293807.1</v>
      </c>
      <c r="J65" s="35">
        <f>H65/G65*100</f>
        <v>55.76121692560837</v>
      </c>
      <c r="K65" s="36">
        <f t="shared" si="1"/>
        <v>-380058.9</v>
      </c>
      <c r="L65" s="37">
        <f t="shared" si="2"/>
        <v>49.35188455085415</v>
      </c>
      <c r="M65" s="53">
        <f>SUM(M58:M64)</f>
        <v>0</v>
      </c>
      <c r="N65" s="54">
        <f>SUM(N58:N64)</f>
        <v>369388.39999999997</v>
      </c>
      <c r="O65" s="54">
        <f>SUM(O58:O64)</f>
        <v>372321.3</v>
      </c>
    </row>
    <row r="66" spans="1:15" ht="31.5">
      <c r="A66" s="115" t="s">
        <v>103</v>
      </c>
      <c r="B66" s="114" t="s">
        <v>104</v>
      </c>
      <c r="C66" s="20" t="s">
        <v>28</v>
      </c>
      <c r="D66" s="29" t="s">
        <v>29</v>
      </c>
      <c r="E66" s="44">
        <v>1.4</v>
      </c>
      <c r="F66" s="16"/>
      <c r="G66" s="16"/>
      <c r="H66" s="16">
        <v>1.5</v>
      </c>
      <c r="I66" s="17">
        <f t="shared" si="0"/>
        <v>1.5</v>
      </c>
      <c r="J66" s="22"/>
      <c r="K66" s="23">
        <f t="shared" si="1"/>
        <v>1.5</v>
      </c>
      <c r="L66" s="24"/>
      <c r="M66" s="25"/>
      <c r="N66" s="24">
        <v>1.5</v>
      </c>
      <c r="O66" s="24">
        <v>1.5</v>
      </c>
    </row>
    <row r="67" spans="1:15" ht="15.75">
      <c r="A67" s="116"/>
      <c r="B67" s="116"/>
      <c r="C67" s="20" t="s">
        <v>38</v>
      </c>
      <c r="D67" s="26" t="s">
        <v>39</v>
      </c>
      <c r="E67" s="44">
        <v>314.2</v>
      </c>
      <c r="F67" s="16"/>
      <c r="G67" s="16"/>
      <c r="H67" s="16">
        <v>574.8</v>
      </c>
      <c r="I67" s="17">
        <f t="shared" si="0"/>
        <v>574.8</v>
      </c>
      <c r="J67" s="22"/>
      <c r="K67" s="23">
        <f t="shared" si="1"/>
        <v>574.8</v>
      </c>
      <c r="L67" s="24"/>
      <c r="M67" s="25">
        <v>18.4</v>
      </c>
      <c r="N67" s="24">
        <v>574.8</v>
      </c>
      <c r="O67" s="24">
        <v>574.8</v>
      </c>
    </row>
    <row r="68" spans="1:15" ht="15.75" customHeight="1">
      <c r="A68" s="116"/>
      <c r="B68" s="116"/>
      <c r="C68" s="20" t="s">
        <v>40</v>
      </c>
      <c r="D68" s="26" t="s">
        <v>41</v>
      </c>
      <c r="E68" s="44"/>
      <c r="F68" s="16"/>
      <c r="G68" s="16"/>
      <c r="H68" s="16"/>
      <c r="I68" s="17">
        <f t="shared" si="0"/>
        <v>0</v>
      </c>
      <c r="J68" s="22"/>
      <c r="K68" s="23">
        <f t="shared" si="1"/>
        <v>0</v>
      </c>
      <c r="L68" s="24"/>
      <c r="M68" s="25"/>
      <c r="N68" s="24"/>
      <c r="O68" s="24"/>
    </row>
    <row r="69" spans="1:15" ht="15.75">
      <c r="A69" s="116"/>
      <c r="B69" s="116"/>
      <c r="C69" s="20" t="s">
        <v>44</v>
      </c>
      <c r="D69" s="26" t="s">
        <v>45</v>
      </c>
      <c r="E69" s="44">
        <v>241.1</v>
      </c>
      <c r="F69" s="16">
        <v>500</v>
      </c>
      <c r="G69" s="16">
        <v>300</v>
      </c>
      <c r="H69" s="16">
        <v>308.1</v>
      </c>
      <c r="I69" s="17">
        <f t="shared" si="0"/>
        <v>8.100000000000023</v>
      </c>
      <c r="J69" s="22">
        <f>H69/G69*100</f>
        <v>102.70000000000002</v>
      </c>
      <c r="K69" s="23">
        <f t="shared" si="1"/>
        <v>-191.89999999999998</v>
      </c>
      <c r="L69" s="24">
        <f t="shared" si="2"/>
        <v>61.620000000000005</v>
      </c>
      <c r="M69" s="25"/>
      <c r="N69" s="24">
        <v>500</v>
      </c>
      <c r="O69" s="24">
        <v>500</v>
      </c>
    </row>
    <row r="70" spans="1:15" s="39" customFormat="1" ht="15.75">
      <c r="A70" s="116"/>
      <c r="B70" s="116"/>
      <c r="C70" s="9"/>
      <c r="D70" s="32" t="s">
        <v>46</v>
      </c>
      <c r="E70" s="33">
        <f>SUM(E66:E69)</f>
        <v>556.6999999999999</v>
      </c>
      <c r="F70" s="33">
        <f>SUM(F66:F69)</f>
        <v>500</v>
      </c>
      <c r="G70" s="33">
        <f>SUM(G66:G69)</f>
        <v>300</v>
      </c>
      <c r="H70" s="33">
        <f>SUM(H66:H69)</f>
        <v>884.4</v>
      </c>
      <c r="I70" s="34">
        <f t="shared" si="0"/>
        <v>584.4</v>
      </c>
      <c r="J70" s="35">
        <f>H70/G70*100</f>
        <v>294.8</v>
      </c>
      <c r="K70" s="36">
        <f t="shared" si="1"/>
        <v>384.4</v>
      </c>
      <c r="L70" s="37">
        <f t="shared" si="2"/>
        <v>176.88</v>
      </c>
      <c r="M70" s="53">
        <f>SUM(M66:M69)</f>
        <v>18.4</v>
      </c>
      <c r="N70" s="54">
        <f>SUM(N66:N69)</f>
        <v>1076.3</v>
      </c>
      <c r="O70" s="54">
        <f>SUM(O66:O69)</f>
        <v>1076.3</v>
      </c>
    </row>
    <row r="71" spans="1:15" ht="31.5">
      <c r="A71" s="115" t="s">
        <v>105</v>
      </c>
      <c r="B71" s="114" t="s">
        <v>106</v>
      </c>
      <c r="C71" s="20" t="s">
        <v>28</v>
      </c>
      <c r="D71" s="29" t="s">
        <v>29</v>
      </c>
      <c r="E71" s="44">
        <v>746.4</v>
      </c>
      <c r="F71" s="44"/>
      <c r="G71" s="44"/>
      <c r="H71" s="44">
        <v>641.7</v>
      </c>
      <c r="I71" s="17">
        <f t="shared" si="0"/>
        <v>641.7</v>
      </c>
      <c r="J71" s="22"/>
      <c r="K71" s="23">
        <f t="shared" si="1"/>
        <v>641.7</v>
      </c>
      <c r="L71" s="24"/>
      <c r="M71" s="25"/>
      <c r="N71" s="44">
        <v>364.9</v>
      </c>
      <c r="O71" s="44">
        <v>364.9</v>
      </c>
    </row>
    <row r="72" spans="1:15" ht="47.25">
      <c r="A72" s="115"/>
      <c r="B72" s="114"/>
      <c r="C72" s="20" t="s">
        <v>30</v>
      </c>
      <c r="D72" s="26" t="s">
        <v>107</v>
      </c>
      <c r="E72" s="44">
        <v>39.3</v>
      </c>
      <c r="F72" s="44"/>
      <c r="G72" s="44"/>
      <c r="H72" s="44">
        <v>65.8</v>
      </c>
      <c r="I72" s="17">
        <f aca="true" t="shared" si="6" ref="I72:I135">H72-G72</f>
        <v>65.8</v>
      </c>
      <c r="J72" s="22"/>
      <c r="K72" s="23">
        <f t="shared" si="1"/>
        <v>65.8</v>
      </c>
      <c r="L72" s="24"/>
      <c r="M72" s="25"/>
      <c r="N72" s="44"/>
      <c r="O72" s="44"/>
    </row>
    <row r="73" spans="1:15" ht="15.75">
      <c r="A73" s="115"/>
      <c r="B73" s="114"/>
      <c r="C73" s="20" t="s">
        <v>38</v>
      </c>
      <c r="D73" s="26" t="s">
        <v>39</v>
      </c>
      <c r="E73" s="44">
        <v>109.1</v>
      </c>
      <c r="F73" s="44"/>
      <c r="G73" s="44"/>
      <c r="H73" s="44">
        <v>1315.3</v>
      </c>
      <c r="I73" s="17">
        <f t="shared" si="6"/>
        <v>1315.3</v>
      </c>
      <c r="J73" s="22"/>
      <c r="K73" s="23">
        <f t="shared" si="1"/>
        <v>1315.3</v>
      </c>
      <c r="L73" s="24"/>
      <c r="M73" s="25">
        <v>581.4</v>
      </c>
      <c r="N73" s="24">
        <v>603</v>
      </c>
      <c r="O73" s="24">
        <v>603</v>
      </c>
    </row>
    <row r="74" spans="1:15" ht="15.75">
      <c r="A74" s="115"/>
      <c r="B74" s="114"/>
      <c r="C74" s="20" t="s">
        <v>40</v>
      </c>
      <c r="D74" s="26" t="s">
        <v>41</v>
      </c>
      <c r="E74" s="44">
        <v>1837.4</v>
      </c>
      <c r="F74" s="44"/>
      <c r="G74" s="44"/>
      <c r="H74" s="44">
        <v>-2263.1</v>
      </c>
      <c r="I74" s="17">
        <f t="shared" si="6"/>
        <v>-2263.1</v>
      </c>
      <c r="J74" s="22"/>
      <c r="K74" s="23">
        <f t="shared" si="1"/>
        <v>-2263.1</v>
      </c>
      <c r="L74" s="24"/>
      <c r="M74" s="25"/>
      <c r="N74" s="24"/>
      <c r="O74" s="24"/>
    </row>
    <row r="75" spans="1:15" ht="15.75" customHeight="1">
      <c r="A75" s="115"/>
      <c r="B75" s="114"/>
      <c r="C75" s="20" t="s">
        <v>42</v>
      </c>
      <c r="D75" s="26" t="s">
        <v>43</v>
      </c>
      <c r="E75" s="44">
        <v>960.7</v>
      </c>
      <c r="F75" s="44"/>
      <c r="G75" s="44"/>
      <c r="H75" s="44">
        <v>1839</v>
      </c>
      <c r="I75" s="17">
        <f t="shared" si="6"/>
        <v>1839</v>
      </c>
      <c r="J75" s="22"/>
      <c r="K75" s="23">
        <f aca="true" t="shared" si="7" ref="K75:K140">H75-F75</f>
        <v>1839</v>
      </c>
      <c r="L75" s="24"/>
      <c r="M75" s="25"/>
      <c r="N75" s="24"/>
      <c r="O75" s="24"/>
    </row>
    <row r="76" spans="1:15" ht="15.75">
      <c r="A76" s="115"/>
      <c r="B76" s="114"/>
      <c r="C76" s="20" t="s">
        <v>87</v>
      </c>
      <c r="D76" s="26" t="s">
        <v>88</v>
      </c>
      <c r="E76" s="44"/>
      <c r="F76" s="44">
        <v>-2172.5</v>
      </c>
      <c r="G76" s="44">
        <v>-2172.5</v>
      </c>
      <c r="H76" s="44">
        <v>-2172.5</v>
      </c>
      <c r="I76" s="17">
        <f t="shared" si="6"/>
        <v>0</v>
      </c>
      <c r="J76" s="22">
        <f>H76/G76*100</f>
        <v>100</v>
      </c>
      <c r="K76" s="23">
        <f t="shared" si="7"/>
        <v>0</v>
      </c>
      <c r="L76" s="24">
        <f aca="true" t="shared" si="8" ref="L76:L137">H76/F76*100</f>
        <v>100</v>
      </c>
      <c r="M76" s="25"/>
      <c r="N76" s="44">
        <v>-2172.5</v>
      </c>
      <c r="O76" s="44">
        <v>-2172.5</v>
      </c>
    </row>
    <row r="77" spans="1:15" ht="15.75">
      <c r="A77" s="115"/>
      <c r="B77" s="114"/>
      <c r="C77" s="20" t="s">
        <v>91</v>
      </c>
      <c r="D77" s="26" t="s">
        <v>108</v>
      </c>
      <c r="E77" s="44"/>
      <c r="F77" s="44">
        <v>498584.8</v>
      </c>
      <c r="G77" s="44">
        <v>359884.7</v>
      </c>
      <c r="H77" s="44">
        <v>418865.1</v>
      </c>
      <c r="I77" s="17">
        <f t="shared" si="6"/>
        <v>58980.399999999965</v>
      </c>
      <c r="J77" s="22">
        <f>H77/G77*100</f>
        <v>116.38869337874044</v>
      </c>
      <c r="K77" s="23">
        <f t="shared" si="7"/>
        <v>-79719.70000000001</v>
      </c>
      <c r="L77" s="24">
        <f t="shared" si="8"/>
        <v>84.0108041801515</v>
      </c>
      <c r="M77" s="25"/>
      <c r="N77" s="44">
        <v>486584.8</v>
      </c>
      <c r="O77" s="44">
        <v>486584.8</v>
      </c>
    </row>
    <row r="78" spans="1:15" ht="15.75">
      <c r="A78" s="115"/>
      <c r="B78" s="114"/>
      <c r="C78" s="20" t="s">
        <v>93</v>
      </c>
      <c r="D78" s="26" t="s">
        <v>109</v>
      </c>
      <c r="E78" s="44"/>
      <c r="F78" s="44">
        <v>76639.6</v>
      </c>
      <c r="G78" s="44">
        <f>61332.3+62.8+0.3-10</f>
        <v>61385.40000000001</v>
      </c>
      <c r="H78" s="44">
        <v>76424</v>
      </c>
      <c r="I78" s="17">
        <f t="shared" si="6"/>
        <v>15038.599999999991</v>
      </c>
      <c r="J78" s="22">
        <f>H78/G78*100</f>
        <v>124.49865929031982</v>
      </c>
      <c r="K78" s="23">
        <f t="shared" si="7"/>
        <v>-215.60000000000582</v>
      </c>
      <c r="L78" s="24">
        <f t="shared" si="8"/>
        <v>99.71868329166644</v>
      </c>
      <c r="M78" s="25"/>
      <c r="N78" s="44">
        <v>70166</v>
      </c>
      <c r="O78" s="44">
        <v>70166</v>
      </c>
    </row>
    <row r="79" spans="1:15" ht="15.75" customHeight="1" hidden="1">
      <c r="A79" s="115"/>
      <c r="B79" s="114"/>
      <c r="C79" s="20" t="s">
        <v>101</v>
      </c>
      <c r="D79" s="26" t="s">
        <v>110</v>
      </c>
      <c r="E79" s="44"/>
      <c r="F79" s="44"/>
      <c r="G79" s="44"/>
      <c r="H79" s="44"/>
      <c r="I79" s="17">
        <f t="shared" si="6"/>
        <v>0</v>
      </c>
      <c r="J79" s="22"/>
      <c r="K79" s="23">
        <f t="shared" si="7"/>
        <v>0</v>
      </c>
      <c r="L79" s="24" t="e">
        <f t="shared" si="8"/>
        <v>#DIV/0!</v>
      </c>
      <c r="M79" s="25"/>
      <c r="N79" s="24"/>
      <c r="O79" s="24"/>
    </row>
    <row r="80" spans="1:15" ht="15.75">
      <c r="A80" s="115"/>
      <c r="B80" s="114"/>
      <c r="C80" s="20" t="s">
        <v>44</v>
      </c>
      <c r="D80" s="26" t="s">
        <v>45</v>
      </c>
      <c r="E80" s="44">
        <f>353956.1+5134+117519.4+9638.9</f>
        <v>486248.4</v>
      </c>
      <c r="F80" s="44">
        <f>488771.9+37816</f>
        <v>526587.9</v>
      </c>
      <c r="G80" s="44">
        <v>351714.7</v>
      </c>
      <c r="H80" s="44">
        <v>567514.8</v>
      </c>
      <c r="I80" s="17">
        <f t="shared" si="6"/>
        <v>215800.10000000003</v>
      </c>
      <c r="J80" s="22">
        <f>H80/G80*100</f>
        <v>161.3565767936342</v>
      </c>
      <c r="K80" s="23">
        <f t="shared" si="7"/>
        <v>40926.90000000002</v>
      </c>
      <c r="L80" s="24">
        <f t="shared" si="8"/>
        <v>107.77209275032715</v>
      </c>
      <c r="M80" s="25"/>
      <c r="N80" s="24">
        <v>492784.9</v>
      </c>
      <c r="O80" s="24">
        <v>488771.9</v>
      </c>
    </row>
    <row r="81" spans="1:15" s="39" customFormat="1" ht="15.75">
      <c r="A81" s="115"/>
      <c r="B81" s="109"/>
      <c r="C81" s="56"/>
      <c r="D81" s="32" t="s">
        <v>46</v>
      </c>
      <c r="E81" s="33">
        <f>SUM(E71:E80)</f>
        <v>489941.30000000005</v>
      </c>
      <c r="F81" s="33">
        <f>SUM(F71:F80)</f>
        <v>1099639.8</v>
      </c>
      <c r="G81" s="33">
        <f>SUM(G71:G80)</f>
        <v>770812.3</v>
      </c>
      <c r="H81" s="33">
        <f>SUM(H71:H80)</f>
        <v>1062230.1</v>
      </c>
      <c r="I81" s="34">
        <f t="shared" si="6"/>
        <v>291417.80000000005</v>
      </c>
      <c r="J81" s="35">
        <f>H81/G81*100</f>
        <v>137.80658404127698</v>
      </c>
      <c r="K81" s="36">
        <f t="shared" si="7"/>
        <v>-37409.69999999995</v>
      </c>
      <c r="L81" s="37">
        <f t="shared" si="8"/>
        <v>96.59800418282424</v>
      </c>
      <c r="M81" s="53">
        <f>SUM(M71:M80)</f>
        <v>581.4</v>
      </c>
      <c r="N81" s="54">
        <f>SUM(N71:N80)</f>
        <v>1048331.1</v>
      </c>
      <c r="O81" s="54">
        <f>SUM(O71:O80)</f>
        <v>1044318.1</v>
      </c>
    </row>
    <row r="82" spans="1:15" s="39" customFormat="1" ht="31.5">
      <c r="A82" s="120" t="s">
        <v>111</v>
      </c>
      <c r="B82" s="117" t="s">
        <v>112</v>
      </c>
      <c r="C82" s="20" t="s">
        <v>28</v>
      </c>
      <c r="D82" s="29" t="s">
        <v>29</v>
      </c>
      <c r="E82" s="33"/>
      <c r="F82" s="33"/>
      <c r="G82" s="33"/>
      <c r="H82" s="16">
        <v>125.9</v>
      </c>
      <c r="I82" s="17">
        <f t="shared" si="6"/>
        <v>125.9</v>
      </c>
      <c r="J82" s="22"/>
      <c r="K82" s="23">
        <f t="shared" si="7"/>
        <v>125.9</v>
      </c>
      <c r="L82" s="24"/>
      <c r="M82" s="25"/>
      <c r="N82" s="49">
        <v>125.9</v>
      </c>
      <c r="O82" s="49">
        <v>125.9</v>
      </c>
    </row>
    <row r="83" spans="1:15" s="39" customFormat="1" ht="78.75">
      <c r="A83" s="121"/>
      <c r="B83" s="124"/>
      <c r="C83" s="27" t="s">
        <v>32</v>
      </c>
      <c r="D83" s="30" t="s">
        <v>33</v>
      </c>
      <c r="E83" s="33"/>
      <c r="F83" s="33"/>
      <c r="G83" s="33"/>
      <c r="H83" s="16">
        <v>39.2</v>
      </c>
      <c r="I83" s="17">
        <f t="shared" si="6"/>
        <v>39.2</v>
      </c>
      <c r="J83" s="22"/>
      <c r="K83" s="23">
        <f t="shared" si="7"/>
        <v>39.2</v>
      </c>
      <c r="L83" s="24"/>
      <c r="M83" s="25"/>
      <c r="N83" s="49"/>
      <c r="O83" s="49"/>
    </row>
    <row r="84" spans="1:15" ht="15.75" customHeight="1">
      <c r="A84" s="122"/>
      <c r="B84" s="122"/>
      <c r="C84" s="20" t="s">
        <v>38</v>
      </c>
      <c r="D84" s="26" t="s">
        <v>39</v>
      </c>
      <c r="E84" s="44"/>
      <c r="F84" s="16"/>
      <c r="G84" s="16"/>
      <c r="H84" s="16">
        <v>349.2</v>
      </c>
      <c r="I84" s="17">
        <f t="shared" si="6"/>
        <v>349.2</v>
      </c>
      <c r="J84" s="22"/>
      <c r="K84" s="23">
        <f t="shared" si="7"/>
        <v>349.2</v>
      </c>
      <c r="L84" s="24"/>
      <c r="M84" s="25">
        <v>299</v>
      </c>
      <c r="N84" s="24">
        <v>349.2</v>
      </c>
      <c r="O84" s="24">
        <v>349.2</v>
      </c>
    </row>
    <row r="85" spans="1:15" ht="15.75">
      <c r="A85" s="122"/>
      <c r="B85" s="122"/>
      <c r="C85" s="20" t="s">
        <v>40</v>
      </c>
      <c r="D85" s="26" t="s">
        <v>41</v>
      </c>
      <c r="E85" s="44">
        <v>408.8</v>
      </c>
      <c r="F85" s="16"/>
      <c r="G85" s="16"/>
      <c r="H85" s="16">
        <v>-410.2</v>
      </c>
      <c r="I85" s="17">
        <f t="shared" si="6"/>
        <v>-410.2</v>
      </c>
      <c r="J85" s="22"/>
      <c r="K85" s="23">
        <f t="shared" si="7"/>
        <v>-410.2</v>
      </c>
      <c r="L85" s="24"/>
      <c r="M85" s="25"/>
      <c r="N85" s="24"/>
      <c r="O85" s="24"/>
    </row>
    <row r="86" spans="1:15" ht="15.75">
      <c r="A86" s="122"/>
      <c r="B86" s="122"/>
      <c r="C86" s="20" t="s">
        <v>42</v>
      </c>
      <c r="D86" s="26" t="s">
        <v>43</v>
      </c>
      <c r="E86" s="44"/>
      <c r="F86" s="16"/>
      <c r="G86" s="16"/>
      <c r="H86" s="16">
        <v>9.2</v>
      </c>
      <c r="I86" s="17">
        <f t="shared" si="6"/>
        <v>9.2</v>
      </c>
      <c r="J86" s="22"/>
      <c r="K86" s="23">
        <f t="shared" si="7"/>
        <v>9.2</v>
      </c>
      <c r="L86" s="24"/>
      <c r="M86" s="25"/>
      <c r="N86" s="24"/>
      <c r="O86" s="24"/>
    </row>
    <row r="87" spans="1:15" ht="15.75">
      <c r="A87" s="122"/>
      <c r="B87" s="122"/>
      <c r="C87" s="20" t="s">
        <v>87</v>
      </c>
      <c r="D87" s="26" t="s">
        <v>88</v>
      </c>
      <c r="E87" s="44"/>
      <c r="F87" s="16">
        <v>-1.2</v>
      </c>
      <c r="G87" s="16">
        <v>-1.2</v>
      </c>
      <c r="H87" s="16">
        <v>-1.2</v>
      </c>
      <c r="I87" s="17">
        <f t="shared" si="6"/>
        <v>0</v>
      </c>
      <c r="J87" s="22">
        <f>H87/G87*100</f>
        <v>100</v>
      </c>
      <c r="K87" s="23">
        <f t="shared" si="7"/>
        <v>0</v>
      </c>
      <c r="L87" s="24">
        <f t="shared" si="8"/>
        <v>100</v>
      </c>
      <c r="M87" s="25"/>
      <c r="N87" s="16">
        <v>-1.2</v>
      </c>
      <c r="O87" s="16">
        <v>-1.2</v>
      </c>
    </row>
    <row r="88" spans="1:15" ht="15.75">
      <c r="A88" s="122"/>
      <c r="B88" s="122"/>
      <c r="C88" s="20" t="s">
        <v>91</v>
      </c>
      <c r="D88" s="26" t="s">
        <v>108</v>
      </c>
      <c r="E88" s="44"/>
      <c r="F88" s="16">
        <v>77963.7</v>
      </c>
      <c r="G88" s="16">
        <v>1908.2</v>
      </c>
      <c r="H88" s="16">
        <v>3047.9</v>
      </c>
      <c r="I88" s="17">
        <f t="shared" si="6"/>
        <v>1139.7</v>
      </c>
      <c r="J88" s="22">
        <f>H88/G88*100</f>
        <v>159.72644376899697</v>
      </c>
      <c r="K88" s="23">
        <f t="shared" si="7"/>
        <v>-74915.8</v>
      </c>
      <c r="L88" s="24">
        <f t="shared" si="8"/>
        <v>3.909383469486441</v>
      </c>
      <c r="M88" s="25"/>
      <c r="N88" s="16">
        <v>74915.8</v>
      </c>
      <c r="O88" s="16">
        <v>74915.8</v>
      </c>
    </row>
    <row r="89" spans="1:15" ht="15.75">
      <c r="A89" s="122"/>
      <c r="B89" s="122"/>
      <c r="C89" s="20" t="s">
        <v>67</v>
      </c>
      <c r="D89" s="28" t="s">
        <v>68</v>
      </c>
      <c r="E89" s="44"/>
      <c r="F89" s="16">
        <v>5000</v>
      </c>
      <c r="G89" s="16"/>
      <c r="H89" s="16">
        <v>5000</v>
      </c>
      <c r="I89" s="17"/>
      <c r="J89" s="22"/>
      <c r="K89" s="23"/>
      <c r="L89" s="24"/>
      <c r="M89" s="25"/>
      <c r="N89" s="16"/>
      <c r="O89" s="16"/>
    </row>
    <row r="90" spans="1:15" ht="15.75">
      <c r="A90" s="122"/>
      <c r="B90" s="122"/>
      <c r="C90" s="20" t="s">
        <v>44</v>
      </c>
      <c r="D90" s="26" t="s">
        <v>45</v>
      </c>
      <c r="E90" s="44">
        <f>52913.7+435.3+10+1339.9</f>
        <v>54698.9</v>
      </c>
      <c r="F90" s="16">
        <v>69861.8</v>
      </c>
      <c r="G90" s="16">
        <v>56513.6</v>
      </c>
      <c r="H90" s="16">
        <v>64817.4</v>
      </c>
      <c r="I90" s="17">
        <f t="shared" si="6"/>
        <v>8303.800000000003</v>
      </c>
      <c r="J90" s="22">
        <f>H90/G90*100</f>
        <v>114.6934543189604</v>
      </c>
      <c r="K90" s="23">
        <f t="shared" si="7"/>
        <v>-5044.4000000000015</v>
      </c>
      <c r="L90" s="24">
        <f t="shared" si="8"/>
        <v>92.77945887452084</v>
      </c>
      <c r="M90" s="25"/>
      <c r="N90" s="24">
        <v>63499.2</v>
      </c>
      <c r="O90" s="24">
        <v>72715.2</v>
      </c>
    </row>
    <row r="91" spans="1:15" s="39" customFormat="1" ht="15.75">
      <c r="A91" s="123"/>
      <c r="B91" s="123"/>
      <c r="C91" s="9"/>
      <c r="D91" s="32" t="s">
        <v>46</v>
      </c>
      <c r="E91" s="33">
        <f>SUM(E82:E90)</f>
        <v>55107.700000000004</v>
      </c>
      <c r="F91" s="33">
        <f>SUM(F82:F90)</f>
        <v>152824.3</v>
      </c>
      <c r="G91" s="33">
        <f>SUM(G82:G90)</f>
        <v>58420.6</v>
      </c>
      <c r="H91" s="33">
        <f>SUM(H82:H90)</f>
        <v>72977.4</v>
      </c>
      <c r="I91" s="34">
        <f t="shared" si="6"/>
        <v>14556.799999999996</v>
      </c>
      <c r="J91" s="35">
        <f>H91/G91*100</f>
        <v>124.91723809752038</v>
      </c>
      <c r="K91" s="36">
        <f t="shared" si="7"/>
        <v>-79846.9</v>
      </c>
      <c r="L91" s="37">
        <f t="shared" si="8"/>
        <v>47.75248438893553</v>
      </c>
      <c r="M91" s="53">
        <f>SUM(M82:M90)</f>
        <v>299</v>
      </c>
      <c r="N91" s="54">
        <f>SUM(N82:N90)</f>
        <v>138888.9</v>
      </c>
      <c r="O91" s="54">
        <f>SUM(O82:O90)</f>
        <v>148104.9</v>
      </c>
    </row>
    <row r="92" spans="1:15" ht="31.5">
      <c r="A92" s="115" t="s">
        <v>113</v>
      </c>
      <c r="B92" s="114" t="s">
        <v>114</v>
      </c>
      <c r="C92" s="20" t="s">
        <v>28</v>
      </c>
      <c r="D92" s="29" t="s">
        <v>29</v>
      </c>
      <c r="E92" s="44">
        <v>2272.2</v>
      </c>
      <c r="F92" s="44"/>
      <c r="G92" s="44"/>
      <c r="H92" s="44">
        <v>4228</v>
      </c>
      <c r="I92" s="17">
        <f t="shared" si="6"/>
        <v>4228</v>
      </c>
      <c r="J92" s="22"/>
      <c r="K92" s="23">
        <f t="shared" si="7"/>
        <v>4228</v>
      </c>
      <c r="L92" s="24"/>
      <c r="M92" s="25"/>
      <c r="N92" s="44">
        <v>3607.2</v>
      </c>
      <c r="O92" s="44">
        <v>3607.2</v>
      </c>
    </row>
    <row r="93" spans="1:15" ht="15.75" customHeight="1">
      <c r="A93" s="115"/>
      <c r="B93" s="114"/>
      <c r="C93" s="20" t="s">
        <v>38</v>
      </c>
      <c r="D93" s="26" t="s">
        <v>39</v>
      </c>
      <c r="E93" s="44"/>
      <c r="F93" s="44"/>
      <c r="G93" s="44"/>
      <c r="H93" s="44">
        <v>79.1</v>
      </c>
      <c r="I93" s="17">
        <f t="shared" si="6"/>
        <v>79.1</v>
      </c>
      <c r="J93" s="22"/>
      <c r="K93" s="23">
        <f t="shared" si="7"/>
        <v>79.1</v>
      </c>
      <c r="L93" s="24"/>
      <c r="M93" s="25"/>
      <c r="N93" s="24"/>
      <c r="O93" s="24"/>
    </row>
    <row r="94" spans="1:15" ht="15.75">
      <c r="A94" s="115"/>
      <c r="B94" s="114"/>
      <c r="C94" s="20" t="s">
        <v>40</v>
      </c>
      <c r="D94" s="26" t="s">
        <v>41</v>
      </c>
      <c r="E94" s="44">
        <v>81.9</v>
      </c>
      <c r="F94" s="44"/>
      <c r="G94" s="44"/>
      <c r="H94" s="44">
        <v>-251</v>
      </c>
      <c r="I94" s="17">
        <f t="shared" si="6"/>
        <v>-251</v>
      </c>
      <c r="J94" s="22"/>
      <c r="K94" s="23">
        <f t="shared" si="7"/>
        <v>-251</v>
      </c>
      <c r="L94" s="24"/>
      <c r="M94" s="25"/>
      <c r="N94" s="24"/>
      <c r="O94" s="24"/>
    </row>
    <row r="95" spans="1:15" ht="15.75">
      <c r="A95" s="115"/>
      <c r="B95" s="114"/>
      <c r="C95" s="20" t="s">
        <v>42</v>
      </c>
      <c r="D95" s="26" t="s">
        <v>43</v>
      </c>
      <c r="E95" s="44"/>
      <c r="F95" s="44"/>
      <c r="G95" s="44"/>
      <c r="H95" s="44"/>
      <c r="I95" s="17">
        <f t="shared" si="6"/>
        <v>0</v>
      </c>
      <c r="J95" s="22" t="e">
        <f>H95/G95*100</f>
        <v>#DIV/0!</v>
      </c>
      <c r="K95" s="23">
        <f t="shared" si="7"/>
        <v>0</v>
      </c>
      <c r="L95" s="24"/>
      <c r="M95" s="25"/>
      <c r="N95" s="24"/>
      <c r="O95" s="24"/>
    </row>
    <row r="96" spans="1:15" ht="15.75">
      <c r="A96" s="115"/>
      <c r="B96" s="114"/>
      <c r="C96" s="20" t="s">
        <v>87</v>
      </c>
      <c r="D96" s="26" t="s">
        <v>88</v>
      </c>
      <c r="E96" s="44"/>
      <c r="F96" s="44">
        <v>-2252.7</v>
      </c>
      <c r="G96" s="44">
        <v>-2252.7</v>
      </c>
      <c r="H96" s="44">
        <v>-2252.7</v>
      </c>
      <c r="I96" s="17">
        <f t="shared" si="6"/>
        <v>0</v>
      </c>
      <c r="J96" s="22">
        <f>H96/G96*100</f>
        <v>100</v>
      </c>
      <c r="K96" s="23">
        <f t="shared" si="7"/>
        <v>0</v>
      </c>
      <c r="L96" s="24">
        <f t="shared" si="8"/>
        <v>100</v>
      </c>
      <c r="M96" s="25"/>
      <c r="N96" s="44">
        <v>-2252.7</v>
      </c>
      <c r="O96" s="44">
        <v>-2252.7</v>
      </c>
    </row>
    <row r="97" spans="1:15" ht="15.75">
      <c r="A97" s="115"/>
      <c r="B97" s="114"/>
      <c r="C97" s="20" t="s">
        <v>91</v>
      </c>
      <c r="D97" s="26" t="s">
        <v>108</v>
      </c>
      <c r="E97" s="44"/>
      <c r="F97" s="44">
        <v>604687.4</v>
      </c>
      <c r="G97" s="44">
        <v>475737.4</v>
      </c>
      <c r="H97" s="44">
        <v>389305.5</v>
      </c>
      <c r="I97" s="17">
        <f t="shared" si="6"/>
        <v>-86431.90000000002</v>
      </c>
      <c r="J97" s="22">
        <f>H97/G97*100</f>
        <v>81.83201488888618</v>
      </c>
      <c r="K97" s="23">
        <f t="shared" si="7"/>
        <v>-215381.90000000002</v>
      </c>
      <c r="L97" s="24">
        <f t="shared" si="8"/>
        <v>64.38128196486316</v>
      </c>
      <c r="M97" s="25"/>
      <c r="N97" s="44">
        <v>455540.5</v>
      </c>
      <c r="O97" s="44">
        <v>455540.5</v>
      </c>
    </row>
    <row r="98" spans="1:15" ht="15.75">
      <c r="A98" s="115"/>
      <c r="B98" s="114"/>
      <c r="C98" s="20" t="s">
        <v>93</v>
      </c>
      <c r="D98" s="26" t="s">
        <v>109</v>
      </c>
      <c r="E98" s="44"/>
      <c r="F98" s="44">
        <v>1834644.6</v>
      </c>
      <c r="G98" s="44">
        <f>1269355.5+8370.5+9.7</f>
        <v>1277735.7</v>
      </c>
      <c r="H98" s="44">
        <v>1937993.9</v>
      </c>
      <c r="I98" s="17">
        <f t="shared" si="6"/>
        <v>660258.2</v>
      </c>
      <c r="J98" s="22">
        <f>H98/G98*100</f>
        <v>151.67408251956957</v>
      </c>
      <c r="K98" s="23">
        <f t="shared" si="7"/>
        <v>103349.29999999981</v>
      </c>
      <c r="L98" s="24">
        <f t="shared" si="8"/>
        <v>105.63320547205709</v>
      </c>
      <c r="M98" s="25"/>
      <c r="N98" s="44">
        <v>1703251.5</v>
      </c>
      <c r="O98" s="44">
        <v>1877017.9</v>
      </c>
    </row>
    <row r="99" spans="1:15" ht="15.75">
      <c r="A99" s="115"/>
      <c r="B99" s="114"/>
      <c r="C99" s="20" t="s">
        <v>101</v>
      </c>
      <c r="D99" s="26" t="s">
        <v>115</v>
      </c>
      <c r="E99" s="44">
        <v>33978.8</v>
      </c>
      <c r="F99" s="44"/>
      <c r="G99" s="44"/>
      <c r="H99" s="44"/>
      <c r="I99" s="17">
        <f t="shared" si="6"/>
        <v>0</v>
      </c>
      <c r="J99" s="22"/>
      <c r="K99" s="23">
        <f t="shared" si="7"/>
        <v>0</v>
      </c>
      <c r="L99" s="24"/>
      <c r="M99" s="25"/>
      <c r="N99" s="24"/>
      <c r="O99" s="24"/>
    </row>
    <row r="100" spans="1:15" ht="15.75">
      <c r="A100" s="115"/>
      <c r="B100" s="114"/>
      <c r="C100" s="20" t="s">
        <v>44</v>
      </c>
      <c r="D100" s="26" t="s">
        <v>45</v>
      </c>
      <c r="E100" s="44">
        <f>370976.6+751.8+21633.8+99866.8</f>
        <v>493228.99999999994</v>
      </c>
      <c r="F100" s="44">
        <f>535383.9-2287.8</f>
        <v>533096.1</v>
      </c>
      <c r="G100" s="44">
        <v>365551</v>
      </c>
      <c r="H100" s="44">
        <v>538543.3</v>
      </c>
      <c r="I100" s="17">
        <f t="shared" si="6"/>
        <v>172992.30000000005</v>
      </c>
      <c r="J100" s="22">
        <f>H100/G100*100</f>
        <v>147.32371132892538</v>
      </c>
      <c r="K100" s="23">
        <f t="shared" si="7"/>
        <v>5447.20000000007</v>
      </c>
      <c r="L100" s="24">
        <f t="shared" si="8"/>
        <v>101.02180451141925</v>
      </c>
      <c r="M100" s="25"/>
      <c r="N100" s="24">
        <v>517565.5</v>
      </c>
      <c r="O100" s="24">
        <v>537683.9</v>
      </c>
    </row>
    <row r="101" spans="1:15" s="39" customFormat="1" ht="15.75">
      <c r="A101" s="115"/>
      <c r="B101" s="114"/>
      <c r="C101" s="9"/>
      <c r="D101" s="32" t="s">
        <v>46</v>
      </c>
      <c r="E101" s="33">
        <f>SUM(E92:E100)</f>
        <v>529561.8999999999</v>
      </c>
      <c r="F101" s="33">
        <f>SUM(F92:F100)</f>
        <v>2970175.4000000004</v>
      </c>
      <c r="G101" s="33">
        <f>SUM(G92:G100)</f>
        <v>2116771.4</v>
      </c>
      <c r="H101" s="33">
        <f>SUM(H92:H100)</f>
        <v>2867646.0999999996</v>
      </c>
      <c r="I101" s="34">
        <f t="shared" si="6"/>
        <v>750874.6999999997</v>
      </c>
      <c r="J101" s="35">
        <f>H101/G101*100</f>
        <v>135.47264007818697</v>
      </c>
      <c r="K101" s="36">
        <f t="shared" si="7"/>
        <v>-102529.30000000075</v>
      </c>
      <c r="L101" s="37">
        <f t="shared" si="8"/>
        <v>96.54803888012806</v>
      </c>
      <c r="M101" s="53">
        <f>SUM(M92:M100)</f>
        <v>0</v>
      </c>
      <c r="N101" s="54">
        <f>SUM(N92:N100)</f>
        <v>2677712</v>
      </c>
      <c r="O101" s="54">
        <f>SUM(O92:O100)</f>
        <v>2871596.8</v>
      </c>
    </row>
    <row r="102" spans="1:15" ht="31.5" customHeight="1">
      <c r="A102" s="113" t="s">
        <v>116</v>
      </c>
      <c r="B102" s="114" t="s">
        <v>117</v>
      </c>
      <c r="C102" s="20" t="s">
        <v>28</v>
      </c>
      <c r="D102" s="29" t="s">
        <v>29</v>
      </c>
      <c r="E102" s="44">
        <f>59.4+11.6+115.8+12.5+213</f>
        <v>412.3</v>
      </c>
      <c r="F102" s="16"/>
      <c r="G102" s="16"/>
      <c r="H102" s="16">
        <v>488.9</v>
      </c>
      <c r="I102" s="17">
        <f t="shared" si="6"/>
        <v>488.9</v>
      </c>
      <c r="J102" s="22"/>
      <c r="K102" s="23">
        <f t="shared" si="7"/>
        <v>488.9</v>
      </c>
      <c r="L102" s="24"/>
      <c r="M102" s="25"/>
      <c r="N102" s="16">
        <v>134.4</v>
      </c>
      <c r="O102" s="16">
        <v>134.4</v>
      </c>
    </row>
    <row r="103" spans="1:15" ht="31.5" customHeight="1">
      <c r="A103" s="113"/>
      <c r="B103" s="114"/>
      <c r="C103" s="20" t="s">
        <v>118</v>
      </c>
      <c r="D103" s="26" t="s">
        <v>119</v>
      </c>
      <c r="E103" s="44">
        <v>809.5</v>
      </c>
      <c r="F103" s="16"/>
      <c r="G103" s="16"/>
      <c r="H103" s="16"/>
      <c r="I103" s="17">
        <f t="shared" si="6"/>
        <v>0</v>
      </c>
      <c r="J103" s="22"/>
      <c r="K103" s="23">
        <f t="shared" si="7"/>
        <v>0</v>
      </c>
      <c r="L103" s="24"/>
      <c r="M103" s="25"/>
      <c r="N103" s="16"/>
      <c r="O103" s="16"/>
    </row>
    <row r="104" spans="1:15" ht="31.5">
      <c r="A104" s="116"/>
      <c r="B104" s="125"/>
      <c r="C104" s="20" t="s">
        <v>120</v>
      </c>
      <c r="D104" s="26" t="s">
        <v>121</v>
      </c>
      <c r="E104" s="44"/>
      <c r="F104" s="16"/>
      <c r="G104" s="16"/>
      <c r="H104" s="16"/>
      <c r="I104" s="17">
        <f t="shared" si="6"/>
        <v>0</v>
      </c>
      <c r="J104" s="22"/>
      <c r="K104" s="23">
        <f t="shared" si="7"/>
        <v>0</v>
      </c>
      <c r="L104" s="24"/>
      <c r="M104" s="25"/>
      <c r="N104" s="24"/>
      <c r="O104" s="24"/>
    </row>
    <row r="105" spans="1:15" ht="15.75">
      <c r="A105" s="116"/>
      <c r="B105" s="125"/>
      <c r="C105" s="20" t="s">
        <v>38</v>
      </c>
      <c r="D105" s="26" t="s">
        <v>39</v>
      </c>
      <c r="E105" s="44">
        <f>45.2+267.9+666.7+369.8+594.3+323+138.4+310.1</f>
        <v>2715.3999999999996</v>
      </c>
      <c r="F105" s="16">
        <f>427+206.7+350+195.3+119+50+220</f>
        <v>1568</v>
      </c>
      <c r="G105" s="16">
        <v>1136.2</v>
      </c>
      <c r="H105" s="16">
        <v>2041.8</v>
      </c>
      <c r="I105" s="17">
        <f t="shared" si="6"/>
        <v>905.5999999999999</v>
      </c>
      <c r="J105" s="22">
        <f>H105/G105*100</f>
        <v>179.70427741594787</v>
      </c>
      <c r="K105" s="23">
        <f t="shared" si="7"/>
        <v>473.79999999999995</v>
      </c>
      <c r="L105" s="24">
        <f t="shared" si="8"/>
        <v>130.21683673469386</v>
      </c>
      <c r="M105" s="25">
        <v>1383.6</v>
      </c>
      <c r="N105" s="16">
        <v>1442.7</v>
      </c>
      <c r="O105" s="16">
        <v>1442.7</v>
      </c>
    </row>
    <row r="106" spans="1:15" ht="15.75">
      <c r="A106" s="116"/>
      <c r="B106" s="125"/>
      <c r="C106" s="20" t="s">
        <v>40</v>
      </c>
      <c r="D106" s="26" t="s">
        <v>41</v>
      </c>
      <c r="E106" s="44">
        <f>0.3+8+2.4+0.8+2.4+5</f>
        <v>18.900000000000002</v>
      </c>
      <c r="F106" s="16"/>
      <c r="G106" s="16"/>
      <c r="H106" s="16">
        <v>304.4</v>
      </c>
      <c r="I106" s="17">
        <f t="shared" si="6"/>
        <v>304.4</v>
      </c>
      <c r="J106" s="22"/>
      <c r="K106" s="23">
        <f t="shared" si="7"/>
        <v>304.4</v>
      </c>
      <c r="L106" s="24"/>
      <c r="M106" s="25"/>
      <c r="N106" s="24"/>
      <c r="O106" s="24"/>
    </row>
    <row r="107" spans="1:15" ht="15.75">
      <c r="A107" s="116"/>
      <c r="B107" s="125"/>
      <c r="C107" s="20" t="s">
        <v>42</v>
      </c>
      <c r="D107" s="26" t="s">
        <v>43</v>
      </c>
      <c r="E107" s="44">
        <v>5531.2</v>
      </c>
      <c r="F107" s="16"/>
      <c r="G107" s="16"/>
      <c r="H107" s="16">
        <v>9612.8</v>
      </c>
      <c r="I107" s="17">
        <f t="shared" si="6"/>
        <v>9612.8</v>
      </c>
      <c r="J107" s="22"/>
      <c r="K107" s="23">
        <f t="shared" si="7"/>
        <v>9612.8</v>
      </c>
      <c r="L107" s="24"/>
      <c r="M107" s="25"/>
      <c r="N107" s="16">
        <v>9465.9</v>
      </c>
      <c r="O107" s="16">
        <v>9465.9</v>
      </c>
    </row>
    <row r="108" spans="1:15" ht="15.75">
      <c r="A108" s="116"/>
      <c r="B108" s="125"/>
      <c r="C108" s="20" t="s">
        <v>93</v>
      </c>
      <c r="D108" s="26" t="s">
        <v>109</v>
      </c>
      <c r="E108" s="44"/>
      <c r="F108" s="16">
        <v>161579.9</v>
      </c>
      <c r="G108" s="16">
        <f>120176.8-2101.4</f>
        <v>118075.40000000001</v>
      </c>
      <c r="H108" s="16">
        <v>23598.5</v>
      </c>
      <c r="I108" s="17">
        <f t="shared" si="6"/>
        <v>-94476.90000000001</v>
      </c>
      <c r="J108" s="22">
        <f>H108/G108*100</f>
        <v>19.98595812506246</v>
      </c>
      <c r="K108" s="23">
        <f t="shared" si="7"/>
        <v>-137981.4</v>
      </c>
      <c r="L108" s="24">
        <f t="shared" si="8"/>
        <v>14.604848746657225</v>
      </c>
      <c r="M108" s="25"/>
      <c r="N108" s="16">
        <v>160804.1</v>
      </c>
      <c r="O108" s="16">
        <v>23598.5</v>
      </c>
    </row>
    <row r="109" spans="1:15" s="39" customFormat="1" ht="15.75">
      <c r="A109" s="116"/>
      <c r="B109" s="125"/>
      <c r="C109" s="57"/>
      <c r="D109" s="32" t="s">
        <v>46</v>
      </c>
      <c r="E109" s="58">
        <f>SUM(E102:E108)</f>
        <v>9487.3</v>
      </c>
      <c r="F109" s="58">
        <f>SUM(F102:F108)</f>
        <v>163147.9</v>
      </c>
      <c r="G109" s="58">
        <f>SUM(G102:G108)</f>
        <v>119211.6</v>
      </c>
      <c r="H109" s="58">
        <f>SUM(H102:H108)</f>
        <v>36046.4</v>
      </c>
      <c r="I109" s="34">
        <f t="shared" si="6"/>
        <v>-83165.20000000001</v>
      </c>
      <c r="J109" s="35">
        <f>H109/G109*100</f>
        <v>30.237325897815314</v>
      </c>
      <c r="K109" s="35">
        <f>I109/H109*100</f>
        <v>-230.71707576900886</v>
      </c>
      <c r="L109" s="33">
        <f>J109/I109*100</f>
        <v>-0.03635814727532106</v>
      </c>
      <c r="M109" s="53">
        <f>SUM(M102:M108)</f>
        <v>1383.6</v>
      </c>
      <c r="N109" s="54">
        <f>SUM(N102:N108)</f>
        <v>171847.1</v>
      </c>
      <c r="O109" s="54">
        <f>SUM(O102:O108)</f>
        <v>34641.5</v>
      </c>
    </row>
    <row r="110" spans="1:15" ht="78.75">
      <c r="A110" s="105" t="s">
        <v>122</v>
      </c>
      <c r="B110" s="117" t="s">
        <v>123</v>
      </c>
      <c r="C110" s="27" t="s">
        <v>26</v>
      </c>
      <c r="D110" s="28" t="s">
        <v>124</v>
      </c>
      <c r="E110" s="44">
        <v>40978.3</v>
      </c>
      <c r="F110" s="16">
        <v>23545.8</v>
      </c>
      <c r="G110" s="16">
        <v>18057</v>
      </c>
      <c r="H110" s="16">
        <v>29163.8</v>
      </c>
      <c r="I110" s="17">
        <f t="shared" si="6"/>
        <v>11106.8</v>
      </c>
      <c r="J110" s="22">
        <f>H110/G110*100</f>
        <v>161.50966384227723</v>
      </c>
      <c r="K110" s="23">
        <f t="shared" si="7"/>
        <v>5618</v>
      </c>
      <c r="L110" s="24">
        <f t="shared" si="8"/>
        <v>123.85988159247086</v>
      </c>
      <c r="M110" s="25"/>
      <c r="N110" s="16">
        <v>27706.1</v>
      </c>
      <c r="O110" s="16">
        <v>28706.1</v>
      </c>
    </row>
    <row r="111" spans="1:15" ht="31.5">
      <c r="A111" s="122"/>
      <c r="B111" s="122"/>
      <c r="C111" s="20" t="s">
        <v>28</v>
      </c>
      <c r="D111" s="29" t="s">
        <v>29</v>
      </c>
      <c r="E111" s="44">
        <v>57.6</v>
      </c>
      <c r="F111" s="16"/>
      <c r="G111" s="16"/>
      <c r="H111" s="16">
        <v>163.9</v>
      </c>
      <c r="I111" s="17">
        <f t="shared" si="6"/>
        <v>163.9</v>
      </c>
      <c r="J111" s="22"/>
      <c r="K111" s="23">
        <f t="shared" si="7"/>
        <v>163.9</v>
      </c>
      <c r="L111" s="24"/>
      <c r="M111" s="25"/>
      <c r="N111" s="16">
        <v>99.3</v>
      </c>
      <c r="O111" s="16">
        <v>99.3</v>
      </c>
    </row>
    <row r="112" spans="1:15" ht="15.75">
      <c r="A112" s="122"/>
      <c r="B112" s="122"/>
      <c r="C112" s="20" t="s">
        <v>38</v>
      </c>
      <c r="D112" s="26" t="s">
        <v>39</v>
      </c>
      <c r="E112" s="44">
        <v>138</v>
      </c>
      <c r="F112" s="16"/>
      <c r="G112" s="16"/>
      <c r="H112" s="16">
        <v>31.3</v>
      </c>
      <c r="I112" s="17">
        <f t="shared" si="6"/>
        <v>31.3</v>
      </c>
      <c r="J112" s="22"/>
      <c r="K112" s="23">
        <f t="shared" si="7"/>
        <v>31.3</v>
      </c>
      <c r="L112" s="24"/>
      <c r="M112" s="25"/>
      <c r="N112" s="16"/>
      <c r="O112" s="16"/>
    </row>
    <row r="113" spans="1:15" ht="15.75">
      <c r="A113" s="122"/>
      <c r="B113" s="122"/>
      <c r="C113" s="20" t="s">
        <v>40</v>
      </c>
      <c r="D113" s="26" t="s">
        <v>41</v>
      </c>
      <c r="E113" s="44">
        <v>-3.1</v>
      </c>
      <c r="F113" s="16"/>
      <c r="G113" s="16"/>
      <c r="H113" s="16">
        <v>71.4</v>
      </c>
      <c r="I113" s="17">
        <f t="shared" si="6"/>
        <v>71.4</v>
      </c>
      <c r="J113" s="22"/>
      <c r="K113" s="23">
        <f t="shared" si="7"/>
        <v>71.4</v>
      </c>
      <c r="L113" s="24"/>
      <c r="M113" s="25"/>
      <c r="N113" s="24"/>
      <c r="O113" s="24"/>
    </row>
    <row r="114" spans="1:15" ht="15.75">
      <c r="A114" s="122"/>
      <c r="B114" s="122"/>
      <c r="C114" s="20" t="s">
        <v>91</v>
      </c>
      <c r="D114" s="26" t="s">
        <v>108</v>
      </c>
      <c r="E114" s="44"/>
      <c r="F114" s="44">
        <v>658632.3</v>
      </c>
      <c r="G114" s="16">
        <v>643941.1</v>
      </c>
      <c r="H114" s="16">
        <v>625196.3</v>
      </c>
      <c r="I114" s="17">
        <f t="shared" si="6"/>
        <v>-18744.79999999993</v>
      </c>
      <c r="J114" s="22">
        <f>H114/G114*100</f>
        <v>97.08905053583318</v>
      </c>
      <c r="K114" s="23">
        <f t="shared" si="7"/>
        <v>-33436</v>
      </c>
      <c r="L114" s="24">
        <f t="shared" si="8"/>
        <v>94.92341933427801</v>
      </c>
      <c r="M114" s="25"/>
      <c r="N114" s="44">
        <v>658505.3</v>
      </c>
      <c r="O114" s="44">
        <v>658505.3</v>
      </c>
    </row>
    <row r="115" spans="1:15" ht="15.75" customHeight="1">
      <c r="A115" s="122"/>
      <c r="B115" s="122"/>
      <c r="C115" s="20" t="s">
        <v>44</v>
      </c>
      <c r="D115" s="26" t="s">
        <v>45</v>
      </c>
      <c r="E115" s="44">
        <v>-124</v>
      </c>
      <c r="F115" s="16">
        <f>2895.6+527.3</f>
        <v>3422.8999999999996</v>
      </c>
      <c r="G115" s="16">
        <v>1364.3</v>
      </c>
      <c r="H115" s="16">
        <v>5190.6</v>
      </c>
      <c r="I115" s="17">
        <f t="shared" si="6"/>
        <v>3826.3</v>
      </c>
      <c r="J115" s="22"/>
      <c r="K115" s="23">
        <f t="shared" si="7"/>
        <v>1767.7000000000007</v>
      </c>
      <c r="L115" s="24">
        <f t="shared" si="8"/>
        <v>151.64334336381432</v>
      </c>
      <c r="M115" s="25"/>
      <c r="N115" s="16">
        <v>2895.6</v>
      </c>
      <c r="O115" s="16">
        <v>2895.6</v>
      </c>
    </row>
    <row r="116" spans="1:15" s="39" customFormat="1" ht="15.75">
      <c r="A116" s="123"/>
      <c r="B116" s="123"/>
      <c r="C116" s="56"/>
      <c r="D116" s="32" t="s">
        <v>46</v>
      </c>
      <c r="E116" s="58">
        <f>SUM(E110:E115)</f>
        <v>41046.8</v>
      </c>
      <c r="F116" s="58">
        <f>SUM(F110:F115)</f>
        <v>685601.0000000001</v>
      </c>
      <c r="G116" s="58">
        <f>SUM(G110:G115)</f>
        <v>663362.4</v>
      </c>
      <c r="H116" s="58">
        <f>SUM(H110:H115)</f>
        <v>659817.3</v>
      </c>
      <c r="I116" s="34">
        <f t="shared" si="6"/>
        <v>-3545.0999999999767</v>
      </c>
      <c r="J116" s="35">
        <f>H116/G116*100</f>
        <v>99.46558623159831</v>
      </c>
      <c r="K116" s="36">
        <f t="shared" si="7"/>
        <v>-25783.70000000007</v>
      </c>
      <c r="L116" s="37">
        <f t="shared" si="8"/>
        <v>96.23925577704816</v>
      </c>
      <c r="M116" s="53">
        <f>SUM(M110:M115)</f>
        <v>0</v>
      </c>
      <c r="N116" s="54">
        <f>SUM(N110:N115)</f>
        <v>689206.3</v>
      </c>
      <c r="O116" s="54">
        <f>SUM(O110:O115)</f>
        <v>690206.3</v>
      </c>
    </row>
    <row r="117" spans="1:15" ht="31.5">
      <c r="A117" s="115" t="s">
        <v>125</v>
      </c>
      <c r="B117" s="114" t="s">
        <v>126</v>
      </c>
      <c r="C117" s="20" t="s">
        <v>28</v>
      </c>
      <c r="D117" s="29" t="s">
        <v>29</v>
      </c>
      <c r="E117" s="44">
        <v>778.8</v>
      </c>
      <c r="F117" s="16"/>
      <c r="G117" s="16"/>
      <c r="H117" s="16">
        <v>42</v>
      </c>
      <c r="I117" s="17">
        <f t="shared" si="6"/>
        <v>42</v>
      </c>
      <c r="J117" s="22"/>
      <c r="K117" s="23">
        <f t="shared" si="7"/>
        <v>42</v>
      </c>
      <c r="L117" s="24"/>
      <c r="M117" s="25"/>
      <c r="N117" s="16">
        <v>2.8</v>
      </c>
      <c r="O117" s="16">
        <v>2.8</v>
      </c>
    </row>
    <row r="118" spans="1:15" ht="15.75">
      <c r="A118" s="115"/>
      <c r="B118" s="114"/>
      <c r="C118" s="20" t="s">
        <v>38</v>
      </c>
      <c r="D118" s="26" t="s">
        <v>39</v>
      </c>
      <c r="E118" s="44">
        <v>783.4</v>
      </c>
      <c r="F118" s="16">
        <v>9634</v>
      </c>
      <c r="G118" s="16">
        <v>7734</v>
      </c>
      <c r="H118" s="16">
        <v>9828.5</v>
      </c>
      <c r="I118" s="17">
        <f t="shared" si="6"/>
        <v>2094.5</v>
      </c>
      <c r="J118" s="22">
        <f>H118/G118*100</f>
        <v>127.08171709335403</v>
      </c>
      <c r="K118" s="23">
        <f t="shared" si="7"/>
        <v>194.5</v>
      </c>
      <c r="L118" s="24">
        <f t="shared" si="8"/>
        <v>102.01889142619889</v>
      </c>
      <c r="M118" s="25">
        <v>9638.1</v>
      </c>
      <c r="N118" s="24">
        <v>9638.1</v>
      </c>
      <c r="O118" s="24">
        <v>9638.1</v>
      </c>
    </row>
    <row r="119" spans="1:15" ht="15.75">
      <c r="A119" s="115"/>
      <c r="B119" s="114"/>
      <c r="C119" s="20" t="s">
        <v>40</v>
      </c>
      <c r="D119" s="26" t="s">
        <v>41</v>
      </c>
      <c r="E119" s="44"/>
      <c r="F119" s="16"/>
      <c r="G119" s="16"/>
      <c r="H119" s="16"/>
      <c r="I119" s="17">
        <f t="shared" si="6"/>
        <v>0</v>
      </c>
      <c r="J119" s="22"/>
      <c r="K119" s="23">
        <f t="shared" si="7"/>
        <v>0</v>
      </c>
      <c r="L119" s="24"/>
      <c r="M119" s="25"/>
      <c r="N119" s="24"/>
      <c r="O119" s="24"/>
    </row>
    <row r="120" spans="1:15" ht="15.75">
      <c r="A120" s="115"/>
      <c r="B120" s="114"/>
      <c r="C120" s="20" t="s">
        <v>42</v>
      </c>
      <c r="D120" s="26" t="s">
        <v>43</v>
      </c>
      <c r="E120" s="44">
        <v>3</v>
      </c>
      <c r="F120" s="16"/>
      <c r="G120" s="16"/>
      <c r="H120" s="16"/>
      <c r="I120" s="17">
        <f t="shared" si="6"/>
        <v>0</v>
      </c>
      <c r="J120" s="22"/>
      <c r="K120" s="23">
        <f t="shared" si="7"/>
        <v>0</v>
      </c>
      <c r="L120" s="24"/>
      <c r="M120" s="25"/>
      <c r="N120" s="24"/>
      <c r="O120" s="24"/>
    </row>
    <row r="121" spans="1:15" ht="15.75">
      <c r="A121" s="115"/>
      <c r="B121" s="114"/>
      <c r="C121" s="20" t="s">
        <v>87</v>
      </c>
      <c r="D121" s="26" t="s">
        <v>88</v>
      </c>
      <c r="E121" s="44"/>
      <c r="F121" s="16"/>
      <c r="G121" s="16"/>
      <c r="H121" s="16"/>
      <c r="I121" s="17">
        <f t="shared" si="6"/>
        <v>0</v>
      </c>
      <c r="J121" s="22"/>
      <c r="K121" s="23">
        <f t="shared" si="7"/>
        <v>0</v>
      </c>
      <c r="L121" s="24"/>
      <c r="M121" s="25"/>
      <c r="N121" s="24"/>
      <c r="O121" s="24"/>
    </row>
    <row r="122" spans="1:15" ht="15.75">
      <c r="A122" s="115"/>
      <c r="B122" s="114"/>
      <c r="C122" s="20" t="s">
        <v>91</v>
      </c>
      <c r="D122" s="26" t="s">
        <v>127</v>
      </c>
      <c r="E122" s="44"/>
      <c r="F122" s="16">
        <v>979960</v>
      </c>
      <c r="G122" s="16">
        <v>427525</v>
      </c>
      <c r="H122" s="16">
        <v>891855.7</v>
      </c>
      <c r="I122" s="17">
        <f t="shared" si="6"/>
        <v>464330.69999999995</v>
      </c>
      <c r="J122" s="22">
        <f>H122/G122*100</f>
        <v>208.60901701654876</v>
      </c>
      <c r="K122" s="23">
        <f t="shared" si="7"/>
        <v>-88104.30000000005</v>
      </c>
      <c r="L122" s="24">
        <f t="shared" si="8"/>
        <v>91.0093983427895</v>
      </c>
      <c r="M122" s="25"/>
      <c r="N122" s="16">
        <v>979960</v>
      </c>
      <c r="O122" s="16">
        <v>979960</v>
      </c>
    </row>
    <row r="123" spans="1:15" ht="15.75">
      <c r="A123" s="115"/>
      <c r="B123" s="114"/>
      <c r="C123" s="20" t="s">
        <v>44</v>
      </c>
      <c r="D123" s="26" t="s">
        <v>45</v>
      </c>
      <c r="E123" s="44">
        <f>-586.4-192.4</f>
        <v>-778.8</v>
      </c>
      <c r="F123" s="16"/>
      <c r="G123" s="16"/>
      <c r="H123" s="16"/>
      <c r="I123" s="17">
        <f t="shared" si="6"/>
        <v>0</v>
      </c>
      <c r="J123" s="22"/>
      <c r="K123" s="23">
        <f t="shared" si="7"/>
        <v>0</v>
      </c>
      <c r="L123" s="24"/>
      <c r="M123" s="25"/>
      <c r="N123" s="24"/>
      <c r="O123" s="24"/>
    </row>
    <row r="124" spans="1:15" s="39" customFormat="1" ht="15.75">
      <c r="A124" s="116"/>
      <c r="B124" s="116"/>
      <c r="C124" s="9"/>
      <c r="D124" s="32" t="s">
        <v>46</v>
      </c>
      <c r="E124" s="58">
        <f>SUM(E117:E123)</f>
        <v>786.3999999999999</v>
      </c>
      <c r="F124" s="58">
        <f>SUM(F117:F123)</f>
        <v>989594</v>
      </c>
      <c r="G124" s="58">
        <f>SUM(G117:G123)</f>
        <v>435259</v>
      </c>
      <c r="H124" s="58">
        <f>SUM(H117:H123)</f>
        <v>901726.2</v>
      </c>
      <c r="I124" s="34">
        <f t="shared" si="6"/>
        <v>466467.19999999995</v>
      </c>
      <c r="J124" s="35">
        <f>H124/G124*100</f>
        <v>207.17002979834996</v>
      </c>
      <c r="K124" s="36">
        <f t="shared" si="7"/>
        <v>-87867.80000000005</v>
      </c>
      <c r="L124" s="37">
        <f t="shared" si="8"/>
        <v>91.12082328712583</v>
      </c>
      <c r="M124" s="53">
        <f>SUM(M117:M123)</f>
        <v>9638.1</v>
      </c>
      <c r="N124" s="54">
        <f>SUM(N117:N123)</f>
        <v>989600.9</v>
      </c>
      <c r="O124" s="54">
        <f>SUM(O117:O123)</f>
        <v>989600.9</v>
      </c>
    </row>
    <row r="125" spans="1:15" s="39" customFormat="1" ht="31.5">
      <c r="A125" s="120" t="s">
        <v>128</v>
      </c>
      <c r="B125" s="117" t="s">
        <v>129</v>
      </c>
      <c r="C125" s="20" t="s">
        <v>28</v>
      </c>
      <c r="D125" s="29" t="s">
        <v>29</v>
      </c>
      <c r="E125" s="58"/>
      <c r="F125" s="58"/>
      <c r="G125" s="58"/>
      <c r="H125" s="44">
        <v>17.4</v>
      </c>
      <c r="I125" s="17">
        <f t="shared" si="6"/>
        <v>17.4</v>
      </c>
      <c r="J125" s="22"/>
      <c r="K125" s="23">
        <f t="shared" si="7"/>
        <v>17.4</v>
      </c>
      <c r="L125" s="24"/>
      <c r="M125" s="25"/>
      <c r="N125" s="44">
        <v>17.4</v>
      </c>
      <c r="O125" s="44">
        <v>17.4</v>
      </c>
    </row>
    <row r="126" spans="1:15" ht="15.75" customHeight="1">
      <c r="A126" s="122"/>
      <c r="B126" s="122"/>
      <c r="C126" s="20" t="s">
        <v>38</v>
      </c>
      <c r="D126" s="26" t="s">
        <v>39</v>
      </c>
      <c r="E126" s="44">
        <v>198.1</v>
      </c>
      <c r="F126" s="16">
        <v>160</v>
      </c>
      <c r="G126" s="16">
        <v>130</v>
      </c>
      <c r="H126" s="16">
        <v>0.4</v>
      </c>
      <c r="I126" s="17">
        <f t="shared" si="6"/>
        <v>-129.6</v>
      </c>
      <c r="J126" s="22">
        <f>H126/G126*100</f>
        <v>0.3076923076923077</v>
      </c>
      <c r="K126" s="23">
        <f t="shared" si="7"/>
        <v>-159.6</v>
      </c>
      <c r="L126" s="24">
        <f t="shared" si="8"/>
        <v>0.25</v>
      </c>
      <c r="M126" s="25"/>
      <c r="N126" s="24">
        <v>0</v>
      </c>
      <c r="O126" s="24">
        <v>0</v>
      </c>
    </row>
    <row r="127" spans="1:15" ht="15.75">
      <c r="A127" s="122"/>
      <c r="B127" s="122"/>
      <c r="C127" s="20" t="s">
        <v>40</v>
      </c>
      <c r="D127" s="26" t="s">
        <v>41</v>
      </c>
      <c r="E127" s="44">
        <v>0.4</v>
      </c>
      <c r="F127" s="16"/>
      <c r="G127" s="16"/>
      <c r="H127" s="16">
        <v>14.6</v>
      </c>
      <c r="I127" s="17">
        <f t="shared" si="6"/>
        <v>14.6</v>
      </c>
      <c r="J127" s="22"/>
      <c r="K127" s="23">
        <f t="shared" si="7"/>
        <v>14.6</v>
      </c>
      <c r="L127" s="24"/>
      <c r="M127" s="25"/>
      <c r="N127" s="24"/>
      <c r="O127" s="24"/>
    </row>
    <row r="128" spans="1:15" ht="15.75" customHeight="1">
      <c r="A128" s="122"/>
      <c r="B128" s="122"/>
      <c r="C128" s="20" t="s">
        <v>42</v>
      </c>
      <c r="D128" s="26" t="s">
        <v>43</v>
      </c>
      <c r="E128" s="44">
        <v>5.4</v>
      </c>
      <c r="F128" s="16"/>
      <c r="G128" s="16"/>
      <c r="H128" s="16"/>
      <c r="I128" s="17">
        <f t="shared" si="6"/>
        <v>0</v>
      </c>
      <c r="J128" s="22"/>
      <c r="K128" s="23">
        <f t="shared" si="7"/>
        <v>0</v>
      </c>
      <c r="L128" s="24"/>
      <c r="M128" s="25"/>
      <c r="N128" s="24"/>
      <c r="O128" s="24"/>
    </row>
    <row r="129" spans="1:15" ht="15.75">
      <c r="A129" s="122"/>
      <c r="B129" s="122"/>
      <c r="C129" s="20" t="s">
        <v>87</v>
      </c>
      <c r="D129" s="26" t="s">
        <v>88</v>
      </c>
      <c r="E129" s="44"/>
      <c r="F129" s="16">
        <v>-1696</v>
      </c>
      <c r="G129" s="16">
        <v>-1696</v>
      </c>
      <c r="H129" s="16"/>
      <c r="I129" s="17">
        <f t="shared" si="6"/>
        <v>1696</v>
      </c>
      <c r="J129" s="22">
        <f>H129/G129*100</f>
        <v>0</v>
      </c>
      <c r="K129" s="23">
        <f t="shared" si="7"/>
        <v>1696</v>
      </c>
      <c r="L129" s="24">
        <f t="shared" si="8"/>
        <v>0</v>
      </c>
      <c r="M129" s="25"/>
      <c r="N129" s="16">
        <v>-1696</v>
      </c>
      <c r="O129" s="16">
        <v>-1696</v>
      </c>
    </row>
    <row r="130" spans="1:15" ht="15.75">
      <c r="A130" s="122"/>
      <c r="B130" s="122"/>
      <c r="C130" s="20" t="s">
        <v>93</v>
      </c>
      <c r="D130" s="26" t="s">
        <v>109</v>
      </c>
      <c r="E130" s="44"/>
      <c r="F130" s="16">
        <v>477.7</v>
      </c>
      <c r="G130" s="16">
        <v>410.2</v>
      </c>
      <c r="H130" s="16">
        <v>2063.7</v>
      </c>
      <c r="I130" s="17">
        <f t="shared" si="6"/>
        <v>1653.4999999999998</v>
      </c>
      <c r="J130" s="22">
        <f>H130/G130*100</f>
        <v>503.09605070697216</v>
      </c>
      <c r="K130" s="23">
        <f t="shared" si="7"/>
        <v>1585.9999999999998</v>
      </c>
      <c r="L130" s="24">
        <f t="shared" si="8"/>
        <v>432.0075361105296</v>
      </c>
      <c r="M130" s="25"/>
      <c r="N130" s="16">
        <v>477.7</v>
      </c>
      <c r="O130" s="16">
        <v>2063.7</v>
      </c>
    </row>
    <row r="131" spans="1:15" ht="15.75">
      <c r="A131" s="122"/>
      <c r="B131" s="122"/>
      <c r="C131" s="20" t="s">
        <v>67</v>
      </c>
      <c r="D131" s="28" t="s">
        <v>68</v>
      </c>
      <c r="E131" s="44"/>
      <c r="F131" s="16"/>
      <c r="G131" s="16"/>
      <c r="H131" s="16"/>
      <c r="I131" s="17">
        <f t="shared" si="6"/>
        <v>0</v>
      </c>
      <c r="J131" s="22"/>
      <c r="K131" s="23">
        <f t="shared" si="7"/>
        <v>0</v>
      </c>
      <c r="L131" s="24"/>
      <c r="M131" s="25"/>
      <c r="N131" s="24"/>
      <c r="O131" s="24"/>
    </row>
    <row r="132" spans="1:15" ht="15.75">
      <c r="A132" s="122"/>
      <c r="B132" s="122"/>
      <c r="C132" s="20" t="s">
        <v>44</v>
      </c>
      <c r="D132" s="26" t="s">
        <v>45</v>
      </c>
      <c r="E132" s="44">
        <v>606.8</v>
      </c>
      <c r="F132" s="16">
        <f>400+200</f>
        <v>600</v>
      </c>
      <c r="G132" s="16">
        <v>294</v>
      </c>
      <c r="H132" s="16">
        <v>792.6</v>
      </c>
      <c r="I132" s="17">
        <f t="shared" si="6"/>
        <v>498.6</v>
      </c>
      <c r="J132" s="22">
        <f>H132/G132*100</f>
        <v>269.5918367346939</v>
      </c>
      <c r="K132" s="23">
        <f t="shared" si="7"/>
        <v>192.60000000000002</v>
      </c>
      <c r="L132" s="24">
        <f t="shared" si="8"/>
        <v>132.1</v>
      </c>
      <c r="M132" s="25"/>
      <c r="N132" s="24">
        <v>600</v>
      </c>
      <c r="O132" s="24">
        <v>400</v>
      </c>
    </row>
    <row r="133" spans="1:15" s="59" customFormat="1" ht="15.75">
      <c r="A133" s="123"/>
      <c r="B133" s="123"/>
      <c r="C133" s="9"/>
      <c r="D133" s="32" t="s">
        <v>46</v>
      </c>
      <c r="E133" s="58">
        <f>SUM(E125:E132)</f>
        <v>810.6999999999999</v>
      </c>
      <c r="F133" s="58">
        <f>SUM(F125:F132)</f>
        <v>-458.29999999999995</v>
      </c>
      <c r="G133" s="58">
        <f>SUM(G125:G132)</f>
        <v>-861.8</v>
      </c>
      <c r="H133" s="58">
        <f>SUM(H125:H132)</f>
        <v>2888.7</v>
      </c>
      <c r="I133" s="34">
        <f t="shared" si="6"/>
        <v>3750.5</v>
      </c>
      <c r="J133" s="35">
        <f>H133/G133*100</f>
        <v>-335.1937804595034</v>
      </c>
      <c r="K133" s="36">
        <f t="shared" si="7"/>
        <v>3347</v>
      </c>
      <c r="L133" s="37">
        <f t="shared" si="8"/>
        <v>-630.3076587388174</v>
      </c>
      <c r="M133" s="46">
        <f>SUM(M125:M132)</f>
        <v>0</v>
      </c>
      <c r="N133" s="37">
        <f>SUM(N125:N132)</f>
        <v>-600.8999999999999</v>
      </c>
      <c r="O133" s="37">
        <f>SUM(O125:O132)</f>
        <v>785.0999999999999</v>
      </c>
    </row>
    <row r="134" spans="1:15" ht="31.5">
      <c r="A134" s="114" t="s">
        <v>130</v>
      </c>
      <c r="B134" s="114" t="s">
        <v>131</v>
      </c>
      <c r="C134" s="20" t="s">
        <v>132</v>
      </c>
      <c r="D134" s="26" t="s">
        <v>133</v>
      </c>
      <c r="E134" s="44">
        <v>3224</v>
      </c>
      <c r="F134" s="16">
        <v>300</v>
      </c>
      <c r="G134" s="16">
        <v>225</v>
      </c>
      <c r="H134" s="16">
        <v>5304</v>
      </c>
      <c r="I134" s="17">
        <f t="shared" si="6"/>
        <v>5079</v>
      </c>
      <c r="J134" s="22">
        <f>H134/G134*100</f>
        <v>2357.3333333333335</v>
      </c>
      <c r="K134" s="23">
        <f t="shared" si="7"/>
        <v>5004</v>
      </c>
      <c r="L134" s="24">
        <f t="shared" si="8"/>
        <v>1768</v>
      </c>
      <c r="M134" s="25">
        <v>5547</v>
      </c>
      <c r="N134" s="16">
        <v>6191.3</v>
      </c>
      <c r="O134" s="16">
        <v>6191.3</v>
      </c>
    </row>
    <row r="135" spans="1:15" ht="15.75">
      <c r="A135" s="114"/>
      <c r="B135" s="114"/>
      <c r="C135" s="20" t="s">
        <v>20</v>
      </c>
      <c r="D135" s="21" t="s">
        <v>134</v>
      </c>
      <c r="E135" s="44">
        <v>2707.9</v>
      </c>
      <c r="F135" s="16"/>
      <c r="G135" s="16"/>
      <c r="H135" s="16">
        <v>1.3</v>
      </c>
      <c r="I135" s="17">
        <f t="shared" si="6"/>
        <v>1.3</v>
      </c>
      <c r="J135" s="22"/>
      <c r="K135" s="23">
        <f t="shared" si="7"/>
        <v>1.3</v>
      </c>
      <c r="L135" s="24"/>
      <c r="M135" s="25"/>
      <c r="N135" s="24">
        <v>1.3</v>
      </c>
      <c r="O135" s="24">
        <v>1.3</v>
      </c>
    </row>
    <row r="136" spans="1:15" ht="15.75" customHeight="1" hidden="1">
      <c r="A136" s="114"/>
      <c r="B136" s="114"/>
      <c r="C136" s="20" t="s">
        <v>24</v>
      </c>
      <c r="D136" s="26" t="s">
        <v>135</v>
      </c>
      <c r="E136" s="44"/>
      <c r="F136" s="16"/>
      <c r="G136" s="16"/>
      <c r="H136" s="16"/>
      <c r="I136" s="17">
        <f aca="true" t="shared" si="9" ref="I136:I189">H136-G136</f>
        <v>0</v>
      </c>
      <c r="J136" s="22"/>
      <c r="K136" s="23">
        <f t="shared" si="7"/>
        <v>0</v>
      </c>
      <c r="L136" s="24" t="e">
        <f t="shared" si="8"/>
        <v>#DIV/0!</v>
      </c>
      <c r="M136" s="25"/>
      <c r="N136" s="24"/>
      <c r="O136" s="24"/>
    </row>
    <row r="137" spans="1:15" ht="31.5">
      <c r="A137" s="114"/>
      <c r="B137" s="114"/>
      <c r="C137" s="27" t="s">
        <v>26</v>
      </c>
      <c r="D137" s="28" t="s">
        <v>27</v>
      </c>
      <c r="E137" s="44">
        <v>49705.8</v>
      </c>
      <c r="F137" s="16">
        <v>64330.2</v>
      </c>
      <c r="G137" s="16">
        <v>53330.2</v>
      </c>
      <c r="H137" s="16">
        <v>72698</v>
      </c>
      <c r="I137" s="17">
        <f t="shared" si="9"/>
        <v>19367.800000000003</v>
      </c>
      <c r="J137" s="22">
        <f>H137/G137*100</f>
        <v>136.31675860956832</v>
      </c>
      <c r="K137" s="23">
        <f t="shared" si="7"/>
        <v>8367.800000000003</v>
      </c>
      <c r="L137" s="24">
        <f t="shared" si="8"/>
        <v>113.0075765348157</v>
      </c>
      <c r="M137" s="25"/>
      <c r="N137" s="24">
        <v>64330.2</v>
      </c>
      <c r="O137" s="24">
        <v>69406.1</v>
      </c>
    </row>
    <row r="138" spans="1:15" ht="31.5" customHeight="1">
      <c r="A138" s="114"/>
      <c r="B138" s="114"/>
      <c r="C138" s="20" t="s">
        <v>28</v>
      </c>
      <c r="D138" s="29" t="s">
        <v>29</v>
      </c>
      <c r="E138" s="44">
        <v>0.1</v>
      </c>
      <c r="F138" s="16"/>
      <c r="G138" s="16"/>
      <c r="H138" s="16">
        <v>48.9</v>
      </c>
      <c r="I138" s="17">
        <f t="shared" si="9"/>
        <v>48.9</v>
      </c>
      <c r="J138" s="22"/>
      <c r="K138" s="23">
        <f t="shared" si="7"/>
        <v>48.9</v>
      </c>
      <c r="L138" s="24"/>
      <c r="M138" s="25"/>
      <c r="N138" s="16"/>
      <c r="O138" s="16"/>
    </row>
    <row r="139" spans="1:15" ht="15.75">
      <c r="A139" s="114"/>
      <c r="B139" s="114"/>
      <c r="C139" s="20" t="s">
        <v>38</v>
      </c>
      <c r="D139" s="26" t="s">
        <v>39</v>
      </c>
      <c r="E139" s="44">
        <v>588.7</v>
      </c>
      <c r="F139" s="16"/>
      <c r="G139" s="16"/>
      <c r="H139" s="16">
        <v>57.8</v>
      </c>
      <c r="I139" s="17">
        <f t="shared" si="9"/>
        <v>57.8</v>
      </c>
      <c r="J139" s="22"/>
      <c r="K139" s="23">
        <f t="shared" si="7"/>
        <v>57.8</v>
      </c>
      <c r="L139" s="24"/>
      <c r="M139" s="25">
        <v>55.8</v>
      </c>
      <c r="N139" s="24">
        <v>55.8</v>
      </c>
      <c r="O139" s="24">
        <v>55.8</v>
      </c>
    </row>
    <row r="140" spans="1:15" ht="15.75">
      <c r="A140" s="114"/>
      <c r="B140" s="114"/>
      <c r="C140" s="20" t="s">
        <v>40</v>
      </c>
      <c r="D140" s="26" t="s">
        <v>41</v>
      </c>
      <c r="E140" s="44">
        <v>-325.1</v>
      </c>
      <c r="F140" s="16"/>
      <c r="G140" s="16"/>
      <c r="H140" s="16">
        <v>-6.7</v>
      </c>
      <c r="I140" s="17">
        <f t="shared" si="9"/>
        <v>-6.7</v>
      </c>
      <c r="J140" s="22"/>
      <c r="K140" s="23">
        <f t="shared" si="7"/>
        <v>-6.7</v>
      </c>
      <c r="L140" s="24"/>
      <c r="M140" s="25"/>
      <c r="N140" s="24"/>
      <c r="O140" s="24"/>
    </row>
    <row r="141" spans="1:15" ht="15.75">
      <c r="A141" s="114"/>
      <c r="B141" s="114"/>
      <c r="C141" s="20" t="s">
        <v>42</v>
      </c>
      <c r="D141" s="26" t="s">
        <v>43</v>
      </c>
      <c r="E141" s="44"/>
      <c r="F141" s="16"/>
      <c r="G141" s="16"/>
      <c r="H141" s="16"/>
      <c r="I141" s="17">
        <f t="shared" si="9"/>
        <v>0</v>
      </c>
      <c r="J141" s="22"/>
      <c r="K141" s="23">
        <f aca="true" t="shared" si="10" ref="K141:K212">H141-F141</f>
        <v>0</v>
      </c>
      <c r="L141" s="24"/>
      <c r="M141" s="25"/>
      <c r="N141" s="24"/>
      <c r="O141" s="24"/>
    </row>
    <row r="142" spans="1:15" ht="15.75">
      <c r="A142" s="114"/>
      <c r="B142" s="114"/>
      <c r="C142" s="20" t="s">
        <v>87</v>
      </c>
      <c r="D142" s="26" t="s">
        <v>88</v>
      </c>
      <c r="E142" s="44"/>
      <c r="F142" s="16">
        <v>-5.6</v>
      </c>
      <c r="G142" s="16">
        <v>-5.6</v>
      </c>
      <c r="H142" s="16">
        <v>-5.59951</v>
      </c>
      <c r="I142" s="17">
        <f t="shared" si="9"/>
        <v>0.0004899999999992133</v>
      </c>
      <c r="J142" s="22">
        <f>H142/G142*100</f>
        <v>99.99125000000001</v>
      </c>
      <c r="K142" s="23">
        <f t="shared" si="10"/>
        <v>0.0004899999999992133</v>
      </c>
      <c r="L142" s="24">
        <f aca="true" t="shared" si="11" ref="L142:L211">H142/F142*100</f>
        <v>99.99125000000001</v>
      </c>
      <c r="M142" s="25"/>
      <c r="N142" s="16">
        <v>-5.6</v>
      </c>
      <c r="O142" s="16">
        <v>-5.6</v>
      </c>
    </row>
    <row r="143" spans="1:15" ht="15.75">
      <c r="A143" s="114"/>
      <c r="B143" s="114"/>
      <c r="C143" s="20" t="s">
        <v>93</v>
      </c>
      <c r="D143" s="26" t="s">
        <v>94</v>
      </c>
      <c r="E143" s="44"/>
      <c r="F143" s="16">
        <v>275.4</v>
      </c>
      <c r="G143" s="16">
        <v>206.5</v>
      </c>
      <c r="H143" s="16">
        <v>275.4</v>
      </c>
      <c r="I143" s="17">
        <f t="shared" si="9"/>
        <v>68.89999999999998</v>
      </c>
      <c r="J143" s="22">
        <f>H143/G143*100</f>
        <v>133.36561743341403</v>
      </c>
      <c r="K143" s="23">
        <f t="shared" si="10"/>
        <v>0</v>
      </c>
      <c r="L143" s="24">
        <f t="shared" si="11"/>
        <v>100</v>
      </c>
      <c r="M143" s="25"/>
      <c r="N143" s="16">
        <v>275.4</v>
      </c>
      <c r="O143" s="16">
        <v>275.4</v>
      </c>
    </row>
    <row r="144" spans="1:15" s="59" customFormat="1" ht="15.75">
      <c r="A144" s="114"/>
      <c r="B144" s="114"/>
      <c r="C144" s="31"/>
      <c r="D144" s="32" t="s">
        <v>46</v>
      </c>
      <c r="E144" s="58">
        <f>SUM(E134:E143)</f>
        <v>55901.4</v>
      </c>
      <c r="F144" s="58">
        <f>SUM(F134:F143)</f>
        <v>64900</v>
      </c>
      <c r="G144" s="58">
        <f>SUM(G134:G143)</f>
        <v>53756.1</v>
      </c>
      <c r="H144" s="58">
        <f>SUM(H134:H143)</f>
        <v>78373.10049</v>
      </c>
      <c r="I144" s="34">
        <f t="shared" si="9"/>
        <v>24617.00049</v>
      </c>
      <c r="J144" s="35">
        <f>H144/G144*100</f>
        <v>145.79387360690228</v>
      </c>
      <c r="K144" s="36">
        <f t="shared" si="10"/>
        <v>13473.100489999997</v>
      </c>
      <c r="L144" s="37">
        <f t="shared" si="11"/>
        <v>120.7597850385208</v>
      </c>
      <c r="M144" s="46">
        <f>SUM(M134:M143)</f>
        <v>5602.8</v>
      </c>
      <c r="N144" s="37">
        <f>SUM(N134:N143)</f>
        <v>70848.4</v>
      </c>
      <c r="O144" s="37">
        <f>SUM(O134:O143)</f>
        <v>75924.3</v>
      </c>
    </row>
    <row r="145" spans="1:15" ht="31.5">
      <c r="A145" s="115" t="s">
        <v>136</v>
      </c>
      <c r="B145" s="114" t="s">
        <v>137</v>
      </c>
      <c r="C145" s="20" t="s">
        <v>28</v>
      </c>
      <c r="D145" s="29" t="s">
        <v>29</v>
      </c>
      <c r="E145" s="44">
        <v>2</v>
      </c>
      <c r="F145" s="16"/>
      <c r="G145" s="16"/>
      <c r="H145" s="16">
        <v>3460.1</v>
      </c>
      <c r="I145" s="17">
        <f t="shared" si="9"/>
        <v>3460.1</v>
      </c>
      <c r="J145" s="22"/>
      <c r="K145" s="23">
        <f t="shared" si="10"/>
        <v>3460.1</v>
      </c>
      <c r="L145" s="24"/>
      <c r="M145" s="25"/>
      <c r="N145" s="24">
        <v>3460.1</v>
      </c>
      <c r="O145" s="24">
        <v>3460.1</v>
      </c>
    </row>
    <row r="146" spans="1:15" ht="15.75">
      <c r="A146" s="115"/>
      <c r="B146" s="114"/>
      <c r="C146" s="20" t="s">
        <v>38</v>
      </c>
      <c r="D146" s="26" t="s">
        <v>39</v>
      </c>
      <c r="E146" s="44">
        <v>7.1</v>
      </c>
      <c r="F146" s="16"/>
      <c r="G146" s="16"/>
      <c r="H146" s="16"/>
      <c r="I146" s="17">
        <f t="shared" si="9"/>
        <v>0</v>
      </c>
      <c r="J146" s="22"/>
      <c r="K146" s="23">
        <f t="shared" si="10"/>
        <v>0</v>
      </c>
      <c r="L146" s="24"/>
      <c r="M146" s="25"/>
      <c r="N146" s="24"/>
      <c r="O146" s="24"/>
    </row>
    <row r="147" spans="1:15" ht="15.75">
      <c r="A147" s="115"/>
      <c r="B147" s="114"/>
      <c r="C147" s="20" t="s">
        <v>40</v>
      </c>
      <c r="D147" s="26" t="s">
        <v>41</v>
      </c>
      <c r="E147" s="44"/>
      <c r="F147" s="16"/>
      <c r="G147" s="16"/>
      <c r="H147" s="16">
        <v>-6.3</v>
      </c>
      <c r="I147" s="17">
        <f t="shared" si="9"/>
        <v>-6.3</v>
      </c>
      <c r="J147" s="22"/>
      <c r="K147" s="23">
        <f t="shared" si="10"/>
        <v>-6.3</v>
      </c>
      <c r="L147" s="24"/>
      <c r="M147" s="25"/>
      <c r="N147" s="24"/>
      <c r="O147" s="24"/>
    </row>
    <row r="148" spans="1:15" ht="15.75">
      <c r="A148" s="115"/>
      <c r="B148" s="114"/>
      <c r="C148" s="20" t="s">
        <v>93</v>
      </c>
      <c r="D148" s="26" t="s">
        <v>94</v>
      </c>
      <c r="E148" s="44"/>
      <c r="F148" s="16">
        <f>4812.7-240</f>
        <v>4572.7</v>
      </c>
      <c r="G148" s="16">
        <f>2022.3+2048.9</f>
        <v>4071.2</v>
      </c>
      <c r="H148" s="16">
        <v>11971.7</v>
      </c>
      <c r="I148" s="17">
        <f t="shared" si="9"/>
        <v>7900.500000000001</v>
      </c>
      <c r="J148" s="22">
        <f aca="true" t="shared" si="12" ref="J148:J189">H148/G148*100</f>
        <v>294.0582629200236</v>
      </c>
      <c r="K148" s="23">
        <f t="shared" si="10"/>
        <v>7399.000000000001</v>
      </c>
      <c r="L148" s="24">
        <f t="shared" si="11"/>
        <v>261.80812211603654</v>
      </c>
      <c r="M148" s="25"/>
      <c r="N148" s="16">
        <v>4812.7</v>
      </c>
      <c r="O148" s="16">
        <v>11971.7</v>
      </c>
    </row>
    <row r="149" spans="1:15" ht="15.75">
      <c r="A149" s="115"/>
      <c r="B149" s="114"/>
      <c r="C149" s="20" t="s">
        <v>44</v>
      </c>
      <c r="D149" s="26" t="s">
        <v>45</v>
      </c>
      <c r="E149" s="44">
        <v>853.7</v>
      </c>
      <c r="F149" s="16">
        <f>430.8+75.7</f>
        <v>506.5</v>
      </c>
      <c r="G149" s="16">
        <v>272.8</v>
      </c>
      <c r="H149" s="16">
        <v>609.6</v>
      </c>
      <c r="I149" s="17">
        <f t="shared" si="9"/>
        <v>336.8</v>
      </c>
      <c r="J149" s="22">
        <f t="shared" si="12"/>
        <v>223.46041055718473</v>
      </c>
      <c r="K149" s="23">
        <f t="shared" si="10"/>
        <v>103.10000000000002</v>
      </c>
      <c r="L149" s="24">
        <f t="shared" si="11"/>
        <v>120.35538005923001</v>
      </c>
      <c r="M149" s="25"/>
      <c r="N149" s="16">
        <v>455.7</v>
      </c>
      <c r="O149" s="16">
        <v>430.8</v>
      </c>
    </row>
    <row r="150" spans="1:15" s="59" customFormat="1" ht="15.75">
      <c r="A150" s="115"/>
      <c r="B150" s="114"/>
      <c r="C150" s="9"/>
      <c r="D150" s="32" t="s">
        <v>46</v>
      </c>
      <c r="E150" s="58">
        <f>SUM(E145:E149)</f>
        <v>862.8000000000001</v>
      </c>
      <c r="F150" s="58">
        <f>SUM(F145:F149)</f>
        <v>5079.2</v>
      </c>
      <c r="G150" s="58">
        <f>SUM(G145:G149)</f>
        <v>4344</v>
      </c>
      <c r="H150" s="58">
        <f>SUM(H145:H149)</f>
        <v>16035.1</v>
      </c>
      <c r="I150" s="34">
        <f t="shared" si="9"/>
        <v>11691.1</v>
      </c>
      <c r="J150" s="35">
        <f t="shared" si="12"/>
        <v>369.1321362799263</v>
      </c>
      <c r="K150" s="36">
        <f t="shared" si="10"/>
        <v>10955.900000000001</v>
      </c>
      <c r="L150" s="37">
        <f t="shared" si="11"/>
        <v>315.70129154197514</v>
      </c>
      <c r="M150" s="46">
        <f>SUM(M145:M149)</f>
        <v>0</v>
      </c>
      <c r="N150" s="37">
        <f>SUM(N145:N149)</f>
        <v>8728.5</v>
      </c>
      <c r="O150" s="37">
        <f>SUM(O145:O149)</f>
        <v>15862.6</v>
      </c>
    </row>
    <row r="151" spans="1:15" s="59" customFormat="1" ht="31.5">
      <c r="A151" s="120" t="s">
        <v>138</v>
      </c>
      <c r="B151" s="117" t="s">
        <v>139</v>
      </c>
      <c r="C151" s="20" t="s">
        <v>28</v>
      </c>
      <c r="D151" s="29" t="s">
        <v>29</v>
      </c>
      <c r="E151" s="44"/>
      <c r="F151" s="58"/>
      <c r="G151" s="58"/>
      <c r="H151" s="60">
        <v>8.6</v>
      </c>
      <c r="I151" s="17">
        <f>H151-G151</f>
        <v>8.6</v>
      </c>
      <c r="J151" s="22"/>
      <c r="K151" s="23">
        <f t="shared" si="10"/>
        <v>8.6</v>
      </c>
      <c r="L151" s="24"/>
      <c r="M151" s="25"/>
      <c r="N151" s="49">
        <v>5</v>
      </c>
      <c r="O151" s="49">
        <v>5</v>
      </c>
    </row>
    <row r="152" spans="1:15" s="59" customFormat="1" ht="15.75" customHeight="1" hidden="1">
      <c r="A152" s="122"/>
      <c r="B152" s="122"/>
      <c r="C152" s="20" t="s">
        <v>38</v>
      </c>
      <c r="D152" s="26" t="s">
        <v>39</v>
      </c>
      <c r="E152" s="58"/>
      <c r="F152" s="58"/>
      <c r="G152" s="58"/>
      <c r="H152" s="60"/>
      <c r="I152" s="17">
        <f>H152-G152</f>
        <v>0</v>
      </c>
      <c r="J152" s="22"/>
      <c r="K152" s="23">
        <f t="shared" si="10"/>
        <v>0</v>
      </c>
      <c r="L152" s="24"/>
      <c r="M152" s="25"/>
      <c r="N152" s="49"/>
      <c r="O152" s="49"/>
    </row>
    <row r="153" spans="1:15" s="59" customFormat="1" ht="15.75">
      <c r="A153" s="122"/>
      <c r="B153" s="122"/>
      <c r="C153" s="20" t="s">
        <v>40</v>
      </c>
      <c r="D153" s="26" t="s">
        <v>41</v>
      </c>
      <c r="E153" s="44"/>
      <c r="F153" s="58"/>
      <c r="G153" s="58"/>
      <c r="H153" s="60">
        <v>41.3</v>
      </c>
      <c r="I153" s="17">
        <f>H153-G153</f>
        <v>41.3</v>
      </c>
      <c r="J153" s="22"/>
      <c r="K153" s="23">
        <f t="shared" si="10"/>
        <v>41.3</v>
      </c>
      <c r="L153" s="24"/>
      <c r="M153" s="25"/>
      <c r="N153" s="37"/>
      <c r="O153" s="37"/>
    </row>
    <row r="154" spans="1:15" s="61" customFormat="1" ht="15.75">
      <c r="A154" s="122"/>
      <c r="B154" s="122"/>
      <c r="C154" s="20" t="s">
        <v>91</v>
      </c>
      <c r="D154" s="26" t="s">
        <v>127</v>
      </c>
      <c r="E154" s="44"/>
      <c r="F154" s="44">
        <v>109217</v>
      </c>
      <c r="G154" s="44">
        <v>76.9</v>
      </c>
      <c r="H154" s="60"/>
      <c r="I154" s="17"/>
      <c r="J154" s="22"/>
      <c r="K154" s="23"/>
      <c r="L154" s="24">
        <f t="shared" si="11"/>
        <v>0</v>
      </c>
      <c r="M154" s="25"/>
      <c r="N154" s="44">
        <v>103217</v>
      </c>
      <c r="O154" s="44">
        <v>103217</v>
      </c>
    </row>
    <row r="155" spans="1:15" s="61" customFormat="1" ht="15.75">
      <c r="A155" s="122"/>
      <c r="B155" s="122"/>
      <c r="C155" s="20" t="s">
        <v>67</v>
      </c>
      <c r="D155" s="28" t="s">
        <v>68</v>
      </c>
      <c r="E155" s="44"/>
      <c r="F155" s="44">
        <v>9823.6</v>
      </c>
      <c r="G155" s="44"/>
      <c r="H155" s="16">
        <v>9823.6</v>
      </c>
      <c r="I155" s="17"/>
      <c r="J155" s="22"/>
      <c r="K155" s="23"/>
      <c r="L155" s="24"/>
      <c r="M155" s="25"/>
      <c r="N155" s="44"/>
      <c r="O155" s="44"/>
    </row>
    <row r="156" spans="1:15" ht="15.75" customHeight="1">
      <c r="A156" s="122"/>
      <c r="B156" s="122"/>
      <c r="C156" s="20" t="s">
        <v>44</v>
      </c>
      <c r="D156" s="26" t="s">
        <v>45</v>
      </c>
      <c r="E156" s="44">
        <v>3749.1</v>
      </c>
      <c r="F156" s="16">
        <f>6537.4+5207.3</f>
        <v>11744.7</v>
      </c>
      <c r="G156" s="16">
        <f>381.1+1903.8</f>
        <v>2284.9</v>
      </c>
      <c r="H156" s="16">
        <v>7681.4</v>
      </c>
      <c r="I156" s="17">
        <f t="shared" si="9"/>
        <v>5396.5</v>
      </c>
      <c r="J156" s="22">
        <f t="shared" si="12"/>
        <v>336.18101448641073</v>
      </c>
      <c r="K156" s="23">
        <f t="shared" si="10"/>
        <v>-4063.300000000001</v>
      </c>
      <c r="L156" s="24">
        <f t="shared" si="11"/>
        <v>65.40311800216267</v>
      </c>
      <c r="M156" s="25"/>
      <c r="N156" s="24">
        <v>4577.1</v>
      </c>
      <c r="O156" s="24">
        <v>6537.4</v>
      </c>
    </row>
    <row r="157" spans="1:15" s="59" customFormat="1" ht="15.75">
      <c r="A157" s="123"/>
      <c r="B157" s="123"/>
      <c r="C157" s="9"/>
      <c r="D157" s="32" t="s">
        <v>46</v>
      </c>
      <c r="E157" s="58">
        <f>SUM(E151:E156)</f>
        <v>3749.1</v>
      </c>
      <c r="F157" s="58">
        <f>SUM(F151:F156)</f>
        <v>130785.3</v>
      </c>
      <c r="G157" s="58">
        <f>SUM(G151:G156)</f>
        <v>2361.8</v>
      </c>
      <c r="H157" s="58">
        <f>SUM(H151:H156)</f>
        <v>17554.9</v>
      </c>
      <c r="I157" s="34">
        <f t="shared" si="9"/>
        <v>15193.100000000002</v>
      </c>
      <c r="J157" s="35">
        <f t="shared" si="12"/>
        <v>743.2847827927851</v>
      </c>
      <c r="K157" s="36">
        <f t="shared" si="10"/>
        <v>-113230.4</v>
      </c>
      <c r="L157" s="37">
        <f t="shared" si="11"/>
        <v>13.422685882893568</v>
      </c>
      <c r="M157" s="46">
        <f>SUM(M151:M156)</f>
        <v>0</v>
      </c>
      <c r="N157" s="37">
        <f>SUM(N151:N156)</f>
        <v>107799.1</v>
      </c>
      <c r="O157" s="37">
        <f>SUM(O151:O156)</f>
        <v>109759.4</v>
      </c>
    </row>
    <row r="158" spans="1:15" s="59" customFormat="1" ht="15.75">
      <c r="A158" s="120" t="s">
        <v>140</v>
      </c>
      <c r="B158" s="117" t="s">
        <v>141</v>
      </c>
      <c r="C158" s="20" t="s">
        <v>118</v>
      </c>
      <c r="D158" s="26" t="s">
        <v>119</v>
      </c>
      <c r="E158" s="44">
        <v>402.5</v>
      </c>
      <c r="F158" s="44">
        <v>1460</v>
      </c>
      <c r="G158" s="44">
        <v>1000</v>
      </c>
      <c r="H158" s="44">
        <v>839.7</v>
      </c>
      <c r="I158" s="17">
        <f t="shared" si="9"/>
        <v>-160.29999999999995</v>
      </c>
      <c r="J158" s="22">
        <f t="shared" si="12"/>
        <v>83.97</v>
      </c>
      <c r="K158" s="23">
        <f t="shared" si="10"/>
        <v>-620.3</v>
      </c>
      <c r="L158" s="24">
        <f t="shared" si="11"/>
        <v>57.513698630136986</v>
      </c>
      <c r="M158" s="25"/>
      <c r="N158" s="49">
        <v>839.8</v>
      </c>
      <c r="O158" s="49">
        <v>839.8</v>
      </c>
    </row>
    <row r="159" spans="1:15" s="59" customFormat="1" ht="15.75">
      <c r="A159" s="121"/>
      <c r="B159" s="124"/>
      <c r="C159" s="20" t="s">
        <v>40</v>
      </c>
      <c r="D159" s="26" t="s">
        <v>41</v>
      </c>
      <c r="E159" s="44"/>
      <c r="F159" s="44"/>
      <c r="G159" s="44"/>
      <c r="H159" s="44"/>
      <c r="I159" s="17"/>
      <c r="J159" s="22"/>
      <c r="K159" s="23"/>
      <c r="L159" s="24"/>
      <c r="M159" s="25"/>
      <c r="N159" s="49"/>
      <c r="O159" s="49"/>
    </row>
    <row r="160" spans="1:15" s="59" customFormat="1" ht="15.75">
      <c r="A160" s="121"/>
      <c r="B160" s="124"/>
      <c r="C160" s="20" t="s">
        <v>87</v>
      </c>
      <c r="D160" s="26" t="s">
        <v>88</v>
      </c>
      <c r="E160" s="58"/>
      <c r="F160" s="44">
        <v>-10.7</v>
      </c>
      <c r="G160" s="44">
        <v>-10.7</v>
      </c>
      <c r="H160" s="44">
        <v>-10.7</v>
      </c>
      <c r="I160" s="17">
        <f t="shared" si="9"/>
        <v>0</v>
      </c>
      <c r="J160" s="22"/>
      <c r="K160" s="23">
        <f t="shared" si="10"/>
        <v>0</v>
      </c>
      <c r="L160" s="24">
        <f t="shared" si="11"/>
        <v>100</v>
      </c>
      <c r="M160" s="25"/>
      <c r="N160" s="44">
        <v>-10.7</v>
      </c>
      <c r="O160" s="44">
        <v>-10.7</v>
      </c>
    </row>
    <row r="161" spans="1:15" s="59" customFormat="1" ht="15.75">
      <c r="A161" s="121"/>
      <c r="B161" s="124"/>
      <c r="C161" s="20" t="s">
        <v>91</v>
      </c>
      <c r="D161" s="26" t="s">
        <v>108</v>
      </c>
      <c r="E161" s="44"/>
      <c r="F161" s="16">
        <f>315925.6-39160.6-127</f>
        <v>276638</v>
      </c>
      <c r="G161" s="16">
        <f>175036.5-39160.6</f>
        <v>135875.9</v>
      </c>
      <c r="H161" s="16">
        <v>132764.8</v>
      </c>
      <c r="I161" s="17">
        <f>H161-G161</f>
        <v>-3111.100000000006</v>
      </c>
      <c r="J161" s="22">
        <f>H161/G161*100</f>
        <v>97.71033715324057</v>
      </c>
      <c r="K161" s="23">
        <f t="shared" si="10"/>
        <v>-143873.2</v>
      </c>
      <c r="L161" s="24">
        <f t="shared" si="11"/>
        <v>47.99224979937679</v>
      </c>
      <c r="M161" s="25"/>
      <c r="N161" s="16">
        <v>110127</v>
      </c>
      <c r="O161" s="16">
        <v>110127</v>
      </c>
    </row>
    <row r="162" spans="1:15" s="59" customFormat="1" ht="15.75">
      <c r="A162" s="121"/>
      <c r="B162" s="124"/>
      <c r="C162" s="20" t="s">
        <v>93</v>
      </c>
      <c r="D162" s="26" t="s">
        <v>94</v>
      </c>
      <c r="E162" s="58"/>
      <c r="F162" s="44">
        <v>106574.4</v>
      </c>
      <c r="G162" s="44">
        <v>60272.7</v>
      </c>
      <c r="H162" s="44">
        <v>64732.5</v>
      </c>
      <c r="I162" s="17">
        <f>H162-G162</f>
        <v>4459.800000000003</v>
      </c>
      <c r="J162" s="22">
        <f>H162/G162*100</f>
        <v>107.39936986396827</v>
      </c>
      <c r="K162" s="23">
        <f t="shared" si="10"/>
        <v>-41841.899999999994</v>
      </c>
      <c r="L162" s="24">
        <f t="shared" si="11"/>
        <v>60.73925820835022</v>
      </c>
      <c r="M162" s="25"/>
      <c r="N162" s="44">
        <v>106574.4</v>
      </c>
      <c r="O162" s="44">
        <v>106574.4</v>
      </c>
    </row>
    <row r="163" spans="1:15" s="59" customFormat="1" ht="15.75">
      <c r="A163" s="121"/>
      <c r="B163" s="124"/>
      <c r="C163" s="20" t="s">
        <v>67</v>
      </c>
      <c r="D163" s="28" t="s">
        <v>68</v>
      </c>
      <c r="E163" s="58"/>
      <c r="F163" s="44">
        <v>72332.3</v>
      </c>
      <c r="G163" s="44">
        <f>5768.1+52871</f>
        <v>58639.1</v>
      </c>
      <c r="H163" s="44">
        <v>58639.1</v>
      </c>
      <c r="I163" s="17">
        <f>H163-G163</f>
        <v>0</v>
      </c>
      <c r="J163" s="22">
        <f>H163/G163*100</f>
        <v>100</v>
      </c>
      <c r="K163" s="23">
        <f t="shared" si="10"/>
        <v>-13693.200000000004</v>
      </c>
      <c r="L163" s="24">
        <f t="shared" si="11"/>
        <v>81.06903831345056</v>
      </c>
      <c r="M163" s="25"/>
      <c r="N163" s="44">
        <v>58639.1</v>
      </c>
      <c r="O163" s="44">
        <v>58639.1</v>
      </c>
    </row>
    <row r="164" spans="1:15" s="59" customFormat="1" ht="15.75">
      <c r="A164" s="126"/>
      <c r="B164" s="108"/>
      <c r="C164" s="9"/>
      <c r="D164" s="32" t="s">
        <v>46</v>
      </c>
      <c r="E164" s="58">
        <f>SUM(E158:E163)</f>
        <v>402.5</v>
      </c>
      <c r="F164" s="58">
        <f>SUM(F158:F163)</f>
        <v>456993.99999999994</v>
      </c>
      <c r="G164" s="58">
        <f>SUM(G158:G163)</f>
        <v>255776.99999999997</v>
      </c>
      <c r="H164" s="58">
        <f>SUM(H158:H163)</f>
        <v>256965.4</v>
      </c>
      <c r="I164" s="34">
        <f>H164-G164</f>
        <v>1188.4000000000233</v>
      </c>
      <c r="J164" s="35">
        <f>H164/G164*100</f>
        <v>100.46462348061007</v>
      </c>
      <c r="K164" s="36">
        <f t="shared" si="10"/>
        <v>-200028.59999999995</v>
      </c>
      <c r="L164" s="37">
        <f t="shared" si="11"/>
        <v>56.22949097799972</v>
      </c>
      <c r="M164" s="46">
        <f>SUM(M158:M163)</f>
        <v>0</v>
      </c>
      <c r="N164" s="37">
        <f>SUM(N158:N163)</f>
        <v>276169.6</v>
      </c>
      <c r="O164" s="37">
        <f>SUM(O158:O163)</f>
        <v>276169.6</v>
      </c>
    </row>
    <row r="165" spans="1:15" ht="63">
      <c r="A165" s="113" t="s">
        <v>142</v>
      </c>
      <c r="B165" s="114" t="s">
        <v>143</v>
      </c>
      <c r="C165" s="27" t="s">
        <v>97</v>
      </c>
      <c r="D165" s="55" t="s">
        <v>98</v>
      </c>
      <c r="E165" s="16">
        <f>411356.6+86917.3</f>
        <v>498273.89999999997</v>
      </c>
      <c r="F165" s="16">
        <v>1056492</v>
      </c>
      <c r="G165" s="16">
        <v>657542.6</v>
      </c>
      <c r="H165" s="16">
        <v>934654.7</v>
      </c>
      <c r="I165" s="17">
        <f t="shared" si="9"/>
        <v>277112.1</v>
      </c>
      <c r="J165" s="22">
        <f t="shared" si="12"/>
        <v>142.14359647572644</v>
      </c>
      <c r="K165" s="23">
        <f t="shared" si="10"/>
        <v>-121837.30000000005</v>
      </c>
      <c r="L165" s="24">
        <f t="shared" si="11"/>
        <v>88.46774987411168</v>
      </c>
      <c r="M165" s="25"/>
      <c r="N165" s="24">
        <v>950000</v>
      </c>
      <c r="O165" s="24">
        <v>920000</v>
      </c>
    </row>
    <row r="166" spans="1:15" ht="63" customHeight="1" hidden="1">
      <c r="A166" s="113"/>
      <c r="B166" s="114"/>
      <c r="C166" s="20" t="s">
        <v>144</v>
      </c>
      <c r="D166" s="26" t="s">
        <v>145</v>
      </c>
      <c r="E166" s="16"/>
      <c r="F166" s="16"/>
      <c r="G166" s="16"/>
      <c r="H166" s="16"/>
      <c r="I166" s="17">
        <f t="shared" si="9"/>
        <v>0</v>
      </c>
      <c r="J166" s="22" t="e">
        <f t="shared" si="12"/>
        <v>#DIV/0!</v>
      </c>
      <c r="K166" s="23">
        <f t="shared" si="10"/>
        <v>0</v>
      </c>
      <c r="L166" s="24" t="e">
        <f t="shared" si="11"/>
        <v>#DIV/0!</v>
      </c>
      <c r="M166" s="25"/>
      <c r="N166" s="24"/>
      <c r="O166" s="24"/>
    </row>
    <row r="167" spans="1:15" ht="31.5">
      <c r="A167" s="113"/>
      <c r="B167" s="109"/>
      <c r="C167" s="20" t="s">
        <v>146</v>
      </c>
      <c r="D167" s="26" t="s">
        <v>147</v>
      </c>
      <c r="E167" s="16">
        <v>1645.4</v>
      </c>
      <c r="F167" s="16">
        <v>13857</v>
      </c>
      <c r="G167" s="16">
        <v>6928.5</v>
      </c>
      <c r="H167" s="16">
        <v>15394</v>
      </c>
      <c r="I167" s="17">
        <f t="shared" si="9"/>
        <v>8465.5</v>
      </c>
      <c r="J167" s="22">
        <f t="shared" si="12"/>
        <v>222.1837338529263</v>
      </c>
      <c r="K167" s="23">
        <f t="shared" si="10"/>
        <v>1537</v>
      </c>
      <c r="L167" s="24">
        <f t="shared" si="11"/>
        <v>111.09186692646315</v>
      </c>
      <c r="M167" s="25"/>
      <c r="N167" s="24">
        <v>15242.7</v>
      </c>
      <c r="O167" s="24">
        <v>15381.7</v>
      </c>
    </row>
    <row r="168" spans="1:15" ht="31.5">
      <c r="A168" s="113"/>
      <c r="B168" s="109"/>
      <c r="C168" s="20" t="s">
        <v>28</v>
      </c>
      <c r="D168" s="29" t="s">
        <v>29</v>
      </c>
      <c r="E168" s="16"/>
      <c r="F168" s="16"/>
      <c r="G168" s="16"/>
      <c r="H168" s="16">
        <v>227.9</v>
      </c>
      <c r="I168" s="17">
        <f t="shared" si="9"/>
        <v>227.9</v>
      </c>
      <c r="J168" s="22"/>
      <c r="K168" s="23">
        <f t="shared" si="10"/>
        <v>227.9</v>
      </c>
      <c r="L168" s="24"/>
      <c r="M168" s="25"/>
      <c r="N168" s="16">
        <v>204.9</v>
      </c>
      <c r="O168" s="16">
        <v>204.9</v>
      </c>
    </row>
    <row r="169" spans="1:15" ht="47.25">
      <c r="A169" s="113"/>
      <c r="B169" s="109"/>
      <c r="C169" s="27" t="s">
        <v>99</v>
      </c>
      <c r="D169" s="28" t="s">
        <v>100</v>
      </c>
      <c r="E169" s="16">
        <v>392537.1</v>
      </c>
      <c r="F169" s="16">
        <v>703715</v>
      </c>
      <c r="G169" s="16">
        <v>493072.2</v>
      </c>
      <c r="H169" s="16">
        <v>489293.1</v>
      </c>
      <c r="I169" s="17">
        <f t="shared" si="9"/>
        <v>-3779.100000000035</v>
      </c>
      <c r="J169" s="22">
        <f t="shared" si="12"/>
        <v>99.23356052115693</v>
      </c>
      <c r="K169" s="23">
        <f t="shared" si="10"/>
        <v>-214421.90000000002</v>
      </c>
      <c r="L169" s="24">
        <f t="shared" si="11"/>
        <v>69.5300085972304</v>
      </c>
      <c r="M169" s="25"/>
      <c r="N169" s="24">
        <v>410000</v>
      </c>
      <c r="O169" s="49">
        <v>480000</v>
      </c>
    </row>
    <row r="170" spans="1:15" ht="15.75">
      <c r="A170" s="113"/>
      <c r="B170" s="109"/>
      <c r="C170" s="20" t="s">
        <v>40</v>
      </c>
      <c r="D170" s="26" t="s">
        <v>41</v>
      </c>
      <c r="E170" s="16">
        <v>726.6</v>
      </c>
      <c r="F170" s="16"/>
      <c r="G170" s="16"/>
      <c r="H170" s="16">
        <v>767.2</v>
      </c>
      <c r="I170" s="17">
        <f t="shared" si="9"/>
        <v>767.2</v>
      </c>
      <c r="J170" s="22"/>
      <c r="K170" s="23">
        <f t="shared" si="10"/>
        <v>767.2</v>
      </c>
      <c r="L170" s="24"/>
      <c r="M170" s="25"/>
      <c r="N170" s="24"/>
      <c r="O170" s="24"/>
    </row>
    <row r="171" spans="1:15" s="39" customFormat="1" ht="15.75">
      <c r="A171" s="109"/>
      <c r="B171" s="109"/>
      <c r="C171" s="56"/>
      <c r="D171" s="32" t="s">
        <v>46</v>
      </c>
      <c r="E171" s="58">
        <f>SUM(E165:E170)</f>
        <v>893182.9999999999</v>
      </c>
      <c r="F171" s="58">
        <f>SUM(F165:F170)</f>
        <v>1774064</v>
      </c>
      <c r="G171" s="58">
        <f>SUM(G165:G170)</f>
        <v>1157543.3</v>
      </c>
      <c r="H171" s="58">
        <f>SUM(H165:H170)</f>
        <v>1440336.9</v>
      </c>
      <c r="I171" s="34">
        <f t="shared" si="9"/>
        <v>282793.59999999986</v>
      </c>
      <c r="J171" s="35">
        <f t="shared" si="12"/>
        <v>124.43049862583973</v>
      </c>
      <c r="K171" s="36">
        <f t="shared" si="10"/>
        <v>-333727.1000000001</v>
      </c>
      <c r="L171" s="37">
        <f t="shared" si="11"/>
        <v>81.18855351328925</v>
      </c>
      <c r="M171" s="53">
        <f>SUM(M165:M170)</f>
        <v>0</v>
      </c>
      <c r="N171" s="54">
        <f>SUM(N165:N170)</f>
        <v>1375447.6</v>
      </c>
      <c r="O171" s="54">
        <f>SUM(O165:O170)</f>
        <v>1415586.6</v>
      </c>
    </row>
    <row r="172" spans="1:15" ht="31.5">
      <c r="A172" s="114"/>
      <c r="B172" s="114" t="s">
        <v>148</v>
      </c>
      <c r="C172" s="20" t="s">
        <v>28</v>
      </c>
      <c r="D172" s="29" t="s">
        <v>29</v>
      </c>
      <c r="E172" s="44">
        <v>97.4</v>
      </c>
      <c r="F172" s="16"/>
      <c r="G172" s="16"/>
      <c r="H172" s="16">
        <v>81.3</v>
      </c>
      <c r="I172" s="17">
        <f t="shared" si="9"/>
        <v>81.3</v>
      </c>
      <c r="J172" s="22"/>
      <c r="K172" s="23">
        <f t="shared" si="10"/>
        <v>81.3</v>
      </c>
      <c r="L172" s="24"/>
      <c r="M172" s="25"/>
      <c r="N172" s="16">
        <v>37.1</v>
      </c>
      <c r="O172" s="16">
        <v>37.1</v>
      </c>
    </row>
    <row r="173" spans="1:15" ht="15.75">
      <c r="A173" s="114"/>
      <c r="B173" s="114"/>
      <c r="C173" s="20" t="s">
        <v>38</v>
      </c>
      <c r="D173" s="26" t="s">
        <v>39</v>
      </c>
      <c r="E173" s="44">
        <v>50646.5</v>
      </c>
      <c r="F173" s="16">
        <f>35165.1-1900</f>
        <v>33265.1</v>
      </c>
      <c r="G173" s="16">
        <v>24828.7</v>
      </c>
      <c r="H173" s="16">
        <v>51021.32</v>
      </c>
      <c r="I173" s="17">
        <f t="shared" si="9"/>
        <v>26192.62</v>
      </c>
      <c r="J173" s="22">
        <f t="shared" si="12"/>
        <v>205.49332023021742</v>
      </c>
      <c r="K173" s="23">
        <f t="shared" si="10"/>
        <v>17756.22</v>
      </c>
      <c r="L173" s="24">
        <f t="shared" si="11"/>
        <v>153.37792461168013</v>
      </c>
      <c r="M173" s="25">
        <f>43463.4-1500</f>
        <v>41963.4</v>
      </c>
      <c r="N173" s="49">
        <v>46391.8</v>
      </c>
      <c r="O173" s="49">
        <f>46391.8+9000</f>
        <v>55391.8</v>
      </c>
    </row>
    <row r="174" spans="1:15" ht="15.75" customHeight="1">
      <c r="A174" s="114"/>
      <c r="B174" s="114"/>
      <c r="C174" s="20" t="s">
        <v>40</v>
      </c>
      <c r="D174" s="26" t="s">
        <v>41</v>
      </c>
      <c r="E174" s="44"/>
      <c r="F174" s="16"/>
      <c r="G174" s="16"/>
      <c r="H174" s="16">
        <v>98.4</v>
      </c>
      <c r="I174" s="17">
        <f t="shared" si="9"/>
        <v>98.4</v>
      </c>
      <c r="J174" s="22" t="e">
        <f t="shared" si="12"/>
        <v>#DIV/0!</v>
      </c>
      <c r="K174" s="23">
        <f t="shared" si="10"/>
        <v>98.4</v>
      </c>
      <c r="L174" s="24"/>
      <c r="M174" s="25"/>
      <c r="N174" s="49"/>
      <c r="O174" s="49"/>
    </row>
    <row r="175" spans="1:15" ht="15.75">
      <c r="A175" s="116"/>
      <c r="B175" s="116"/>
      <c r="C175" s="20" t="s">
        <v>42</v>
      </c>
      <c r="D175" s="26" t="s">
        <v>149</v>
      </c>
      <c r="E175" s="44">
        <v>121.7</v>
      </c>
      <c r="F175" s="16"/>
      <c r="G175" s="16"/>
      <c r="H175" s="16">
        <v>22.8</v>
      </c>
      <c r="I175" s="17">
        <f t="shared" si="9"/>
        <v>22.8</v>
      </c>
      <c r="J175" s="22"/>
      <c r="K175" s="23">
        <f t="shared" si="10"/>
        <v>22.8</v>
      </c>
      <c r="L175" s="24"/>
      <c r="M175" s="25"/>
      <c r="N175" s="49">
        <v>22.8</v>
      </c>
      <c r="O175" s="49">
        <f>22.8+961.6</f>
        <v>984.4</v>
      </c>
    </row>
    <row r="176" spans="1:15" ht="15.75">
      <c r="A176" s="116"/>
      <c r="B176" s="116"/>
      <c r="C176" s="20" t="s">
        <v>87</v>
      </c>
      <c r="D176" s="26" t="s">
        <v>88</v>
      </c>
      <c r="E176" s="44"/>
      <c r="F176" s="16">
        <v>-798.8</v>
      </c>
      <c r="G176" s="16">
        <v>-798.8</v>
      </c>
      <c r="H176" s="16">
        <v>-798.8</v>
      </c>
      <c r="I176" s="17">
        <f t="shared" si="9"/>
        <v>0</v>
      </c>
      <c r="J176" s="22">
        <f t="shared" si="12"/>
        <v>100</v>
      </c>
      <c r="K176" s="23">
        <f t="shared" si="10"/>
        <v>0</v>
      </c>
      <c r="L176" s="24">
        <f t="shared" si="11"/>
        <v>100</v>
      </c>
      <c r="M176" s="25"/>
      <c r="N176" s="16">
        <v>-798.8</v>
      </c>
      <c r="O176" s="16">
        <v>-798.8</v>
      </c>
    </row>
    <row r="177" spans="1:15" ht="31.5" customHeight="1" hidden="1">
      <c r="A177" s="116"/>
      <c r="B177" s="116"/>
      <c r="C177" s="20" t="s">
        <v>150</v>
      </c>
      <c r="D177" s="62" t="s">
        <v>151</v>
      </c>
      <c r="E177" s="44"/>
      <c r="F177" s="16"/>
      <c r="G177" s="16"/>
      <c r="H177" s="16"/>
      <c r="I177" s="17"/>
      <c r="J177" s="22" t="e">
        <f t="shared" si="12"/>
        <v>#DIV/0!</v>
      </c>
      <c r="K177" s="23">
        <f t="shared" si="10"/>
        <v>0</v>
      </c>
      <c r="L177" s="24" t="e">
        <f t="shared" si="11"/>
        <v>#DIV/0!</v>
      </c>
      <c r="M177" s="25"/>
      <c r="N177" s="16"/>
      <c r="O177" s="16"/>
    </row>
    <row r="178" spans="1:15" ht="15.75">
      <c r="A178" s="116"/>
      <c r="B178" s="116"/>
      <c r="C178" s="20" t="s">
        <v>91</v>
      </c>
      <c r="D178" s="26" t="s">
        <v>108</v>
      </c>
      <c r="E178" s="42">
        <v>717763.6</v>
      </c>
      <c r="F178" s="16">
        <v>1886005.7</v>
      </c>
      <c r="G178" s="16">
        <f>32791.81+8550+11.7</f>
        <v>41353.509999999995</v>
      </c>
      <c r="H178" s="16">
        <v>78187.2</v>
      </c>
      <c r="I178" s="17">
        <f t="shared" si="9"/>
        <v>36833.69</v>
      </c>
      <c r="J178" s="22"/>
      <c r="K178" s="23">
        <f t="shared" si="10"/>
        <v>-1807818.5</v>
      </c>
      <c r="L178" s="24">
        <f t="shared" si="11"/>
        <v>4.145650249095217</v>
      </c>
      <c r="M178" s="25"/>
      <c r="N178" s="16">
        <v>95734.1</v>
      </c>
      <c r="O178" s="16">
        <f>95734.1-42138.6</f>
        <v>53595.50000000001</v>
      </c>
    </row>
    <row r="179" spans="1:15" ht="15.75">
      <c r="A179" s="116"/>
      <c r="B179" s="116"/>
      <c r="C179" s="20" t="s">
        <v>93</v>
      </c>
      <c r="D179" s="26" t="s">
        <v>94</v>
      </c>
      <c r="E179" s="42">
        <v>2674381.4</v>
      </c>
      <c r="F179" s="16">
        <v>40461.6</v>
      </c>
      <c r="G179" s="16">
        <f>30549.8</f>
        <v>30549.8</v>
      </c>
      <c r="H179" s="16">
        <v>40461.6</v>
      </c>
      <c r="I179" s="17">
        <f t="shared" si="9"/>
        <v>9911.8</v>
      </c>
      <c r="J179" s="22">
        <f t="shared" si="12"/>
        <v>132.44472958906442</v>
      </c>
      <c r="K179" s="23">
        <f t="shared" si="10"/>
        <v>0</v>
      </c>
      <c r="L179" s="24">
        <f t="shared" si="11"/>
        <v>100</v>
      </c>
      <c r="M179" s="25"/>
      <c r="N179" s="16">
        <v>36515.4</v>
      </c>
      <c r="O179" s="16">
        <v>7733.5</v>
      </c>
    </row>
    <row r="180" spans="1:15" ht="15.75">
      <c r="A180" s="116"/>
      <c r="B180" s="116"/>
      <c r="C180" s="20" t="s">
        <v>67</v>
      </c>
      <c r="D180" s="28" t="s">
        <v>68</v>
      </c>
      <c r="E180" s="42">
        <v>3640</v>
      </c>
      <c r="F180" s="16"/>
      <c r="G180" s="16"/>
      <c r="H180" s="16"/>
      <c r="I180" s="17"/>
      <c r="J180" s="22"/>
      <c r="K180" s="23"/>
      <c r="L180" s="24"/>
      <c r="M180" s="25"/>
      <c r="N180" s="16"/>
      <c r="O180" s="16"/>
    </row>
    <row r="181" spans="1:15" ht="15.75" customHeight="1">
      <c r="A181" s="116"/>
      <c r="B181" s="116"/>
      <c r="C181" s="20" t="s">
        <v>44</v>
      </c>
      <c r="D181" s="26" t="s">
        <v>45</v>
      </c>
      <c r="E181" s="44"/>
      <c r="F181" s="16">
        <v>5153.4</v>
      </c>
      <c r="G181" s="58"/>
      <c r="H181" s="16">
        <v>12304.9</v>
      </c>
      <c r="I181" s="17">
        <f t="shared" si="9"/>
        <v>12304.9</v>
      </c>
      <c r="J181" s="22"/>
      <c r="K181" s="23">
        <f t="shared" si="10"/>
        <v>7151.5</v>
      </c>
      <c r="L181" s="24">
        <f t="shared" si="11"/>
        <v>238.7724608996003</v>
      </c>
      <c r="M181" s="25"/>
      <c r="N181" s="24"/>
      <c r="O181" s="24"/>
    </row>
    <row r="182" spans="1:15" s="39" customFormat="1" ht="15.75">
      <c r="A182" s="116"/>
      <c r="B182" s="116"/>
      <c r="C182" s="56"/>
      <c r="D182" s="32" t="s">
        <v>46</v>
      </c>
      <c r="E182" s="58">
        <f>SUM(E172:E181)</f>
        <v>3446650.5999999996</v>
      </c>
      <c r="F182" s="58">
        <f>SUM(F172:F181)</f>
        <v>1964087</v>
      </c>
      <c r="G182" s="58">
        <f>SUM(G172:G181)</f>
        <v>95933.20999999999</v>
      </c>
      <c r="H182" s="58">
        <f>SUM(H172:H181)</f>
        <v>181378.72</v>
      </c>
      <c r="I182" s="34">
        <f t="shared" si="9"/>
        <v>85445.51000000001</v>
      </c>
      <c r="J182" s="35">
        <f t="shared" si="12"/>
        <v>189.06770658461238</v>
      </c>
      <c r="K182" s="36">
        <f t="shared" si="10"/>
        <v>-1782708.28</v>
      </c>
      <c r="L182" s="24">
        <f t="shared" si="11"/>
        <v>9.234759967353789</v>
      </c>
      <c r="M182" s="53">
        <f>SUM(M172:M179)</f>
        <v>41963.4</v>
      </c>
      <c r="N182" s="54">
        <f>SUM(N172:N179)</f>
        <v>177902.4</v>
      </c>
      <c r="O182" s="54">
        <f>SUM(O172:O179)</f>
        <v>116943.5</v>
      </c>
    </row>
    <row r="183" spans="1:15" s="39" customFormat="1" ht="15.75">
      <c r="A183" s="19"/>
      <c r="B183" s="19"/>
      <c r="C183" s="56"/>
      <c r="D183" s="63" t="s">
        <v>152</v>
      </c>
      <c r="E183" s="58">
        <f>E21+E30+E37+E42+E45+E57+E65+E70+E81+E91+E101+E109+E116+E124+E133+E144+E150+E157+E171+E182+E164</f>
        <v>15160575.3</v>
      </c>
      <c r="F183" s="58">
        <f>F21+F30+F37+F42+F45+F57+F65+F70+F81+F91+F101+F109+F116+F124+F133+F144+F150+F157+F171+F182+F164</f>
        <v>22094198.400000002</v>
      </c>
      <c r="G183" s="58">
        <f>G21+G30+G37+G42+G45+G57+G65+G70+G81+G91+G101+G109+G116+G124+G133+G144+G150+G157+G171+G182+G164</f>
        <v>14286164.610000003</v>
      </c>
      <c r="H183" s="58">
        <f>H21+H30+H37+H42+H45+H57+H65+H70+H81+H91+H101+H109+H116+H124+H133+H144+H150+H157+H171+H182+H164</f>
        <v>18975856.120489996</v>
      </c>
      <c r="I183" s="34">
        <f t="shared" si="9"/>
        <v>4689691.510489993</v>
      </c>
      <c r="J183" s="35">
        <f t="shared" si="12"/>
        <v>132.82680578387925</v>
      </c>
      <c r="K183" s="36">
        <f t="shared" si="10"/>
        <v>-3118342.2795100063</v>
      </c>
      <c r="L183" s="37">
        <f t="shared" si="11"/>
        <v>85.88614882941394</v>
      </c>
      <c r="M183" s="64">
        <f>M21+M30+M37+M42+M45+M57+M65+M70+M81+M91+M101+M109+M116+M124+M133+M144+M150+M157+M171+M182+M164</f>
        <v>9309678.600000001</v>
      </c>
      <c r="N183" s="58">
        <f>N21+N30+N37+N42+N45+N57+N65+N70+N81+N91+N101+N109+N116+N124+N133+N144+N150+N157+N171+N182+N164</f>
        <v>18503371.200000003</v>
      </c>
      <c r="O183" s="58">
        <f>O21+O30+O37+O42+O45+O57+O65+O70+O81+O91+O101+O109+O116+O124+O133+O144+O150+O157+O171+O182+O164</f>
        <v>18892694.800000004</v>
      </c>
    </row>
    <row r="184" spans="1:15" s="39" customFormat="1" ht="15.75">
      <c r="A184" s="65"/>
      <c r="B184" s="19"/>
      <c r="C184" s="56"/>
      <c r="D184" s="63"/>
      <c r="E184" s="58"/>
      <c r="F184" s="58"/>
      <c r="G184" s="58"/>
      <c r="H184" s="58"/>
      <c r="I184" s="70"/>
      <c r="J184" s="33"/>
      <c r="K184" s="37"/>
      <c r="L184" s="37"/>
      <c r="M184" s="58"/>
      <c r="N184" s="58"/>
      <c r="O184" s="58"/>
    </row>
    <row r="185" spans="1:15" s="39" customFormat="1" ht="31.5">
      <c r="A185" s="19"/>
      <c r="B185" s="19"/>
      <c r="C185" s="56"/>
      <c r="D185" s="63" t="s">
        <v>172</v>
      </c>
      <c r="E185" s="58">
        <f aca="true" t="shared" si="13" ref="E185:J185">E193+E206+E231</f>
        <v>10678683.3</v>
      </c>
      <c r="F185" s="58">
        <f t="shared" si="13"/>
        <v>13178163.299999999</v>
      </c>
      <c r="G185" s="58">
        <f t="shared" si="13"/>
        <v>9523681.2</v>
      </c>
      <c r="H185" s="58">
        <f t="shared" si="13"/>
        <v>12656240.020490002</v>
      </c>
      <c r="I185" s="58">
        <f t="shared" si="13"/>
        <v>3132558.820490002</v>
      </c>
      <c r="J185" s="58">
        <f t="shared" si="13"/>
        <v>431.3641292301835</v>
      </c>
      <c r="K185" s="36">
        <f t="shared" si="10"/>
        <v>-521923.279509997</v>
      </c>
      <c r="L185" s="37">
        <f t="shared" si="11"/>
        <v>96.03948389750188</v>
      </c>
      <c r="M185" s="58"/>
      <c r="N185" s="58">
        <f>N193+N206+N231</f>
        <v>11981182.200000001</v>
      </c>
      <c r="O185" s="58">
        <f>O193+O206+O231</f>
        <v>12340132</v>
      </c>
    </row>
    <row r="186" spans="1:15" ht="15.75">
      <c r="A186" s="65"/>
      <c r="B186" s="19"/>
      <c r="C186" s="90"/>
      <c r="D186" s="63"/>
      <c r="E186" s="44"/>
      <c r="F186" s="16"/>
      <c r="G186" s="70"/>
      <c r="H186" s="16"/>
      <c r="I186" s="42"/>
      <c r="J186" s="33"/>
      <c r="K186" s="24"/>
      <c r="L186" s="24"/>
      <c r="M186" s="24"/>
      <c r="N186" s="24"/>
      <c r="O186" s="24"/>
    </row>
    <row r="187" spans="1:15" s="39" customFormat="1" ht="31.5">
      <c r="A187" s="40"/>
      <c r="B187" s="41"/>
      <c r="C187" s="45"/>
      <c r="D187" s="71" t="s">
        <v>153</v>
      </c>
      <c r="E187" s="70">
        <f>E189</f>
        <v>397370</v>
      </c>
      <c r="F187" s="70">
        <f>F189</f>
        <v>29220.9</v>
      </c>
      <c r="G187" s="70">
        <f>G189</f>
        <v>27622</v>
      </c>
      <c r="H187" s="70">
        <f>H189</f>
        <v>27622</v>
      </c>
      <c r="I187" s="34">
        <f t="shared" si="9"/>
        <v>0</v>
      </c>
      <c r="J187" s="35">
        <f t="shared" si="12"/>
        <v>100</v>
      </c>
      <c r="K187" s="36">
        <f t="shared" si="10"/>
        <v>-1598.9000000000015</v>
      </c>
      <c r="L187" s="37">
        <f t="shared" si="11"/>
        <v>94.52823150553199</v>
      </c>
      <c r="M187" s="72">
        <f>M189</f>
        <v>0</v>
      </c>
      <c r="N187" s="70">
        <f>N189</f>
        <v>29220.9</v>
      </c>
      <c r="O187" s="70">
        <f>O189</f>
        <v>29220.9</v>
      </c>
    </row>
    <row r="188" spans="1:15" ht="31.5">
      <c r="A188" s="105" t="s">
        <v>16</v>
      </c>
      <c r="B188" s="117" t="s">
        <v>17</v>
      </c>
      <c r="C188" s="27" t="s">
        <v>154</v>
      </c>
      <c r="D188" s="28" t="s">
        <v>155</v>
      </c>
      <c r="E188" s="42">
        <v>397370</v>
      </c>
      <c r="F188" s="42">
        <v>29220.9</v>
      </c>
      <c r="G188" s="42">
        <v>27622</v>
      </c>
      <c r="H188" s="42">
        <v>27622</v>
      </c>
      <c r="I188" s="17">
        <f t="shared" si="9"/>
        <v>0</v>
      </c>
      <c r="J188" s="22">
        <f t="shared" si="12"/>
        <v>100</v>
      </c>
      <c r="K188" s="23">
        <f t="shared" si="10"/>
        <v>-1598.9000000000015</v>
      </c>
      <c r="L188" s="24">
        <f t="shared" si="11"/>
        <v>94.52823150553199</v>
      </c>
      <c r="M188" s="43"/>
      <c r="N188" s="42">
        <v>29220.9</v>
      </c>
      <c r="O188" s="42">
        <v>29220.9</v>
      </c>
    </row>
    <row r="189" spans="1:15" s="39" customFormat="1" ht="15.75">
      <c r="A189" s="123"/>
      <c r="B189" s="123"/>
      <c r="C189" s="45"/>
      <c r="D189" s="32" t="s">
        <v>46</v>
      </c>
      <c r="E189" s="70">
        <f>SUM(E188:E188)</f>
        <v>397370</v>
      </c>
      <c r="F189" s="70">
        <f>SUM(F188:F188)</f>
        <v>29220.9</v>
      </c>
      <c r="G189" s="70">
        <f>SUM(G188:G188)</f>
        <v>27622</v>
      </c>
      <c r="H189" s="70">
        <f>SUM(H188:H188)</f>
        <v>27622</v>
      </c>
      <c r="I189" s="34">
        <f t="shared" si="9"/>
        <v>0</v>
      </c>
      <c r="J189" s="35">
        <f t="shared" si="12"/>
        <v>100</v>
      </c>
      <c r="K189" s="36">
        <f t="shared" si="10"/>
        <v>-1598.9000000000015</v>
      </c>
      <c r="L189" s="37">
        <f t="shared" si="11"/>
        <v>94.52823150553199</v>
      </c>
      <c r="M189" s="72">
        <f>SUM(M188:M188)</f>
        <v>0</v>
      </c>
      <c r="N189" s="70">
        <f>SUM(N188:N188)</f>
        <v>29220.9</v>
      </c>
      <c r="O189" s="70">
        <f>SUM(O188:O188)</f>
        <v>29220.9</v>
      </c>
    </row>
    <row r="190" spans="1:15" ht="15.75">
      <c r="A190" s="65"/>
      <c r="B190" s="65"/>
      <c r="C190" s="66"/>
      <c r="D190" s="67"/>
      <c r="E190" s="68"/>
      <c r="F190" s="69"/>
      <c r="G190" s="69"/>
      <c r="H190" s="69"/>
      <c r="I190" s="69"/>
      <c r="J190" s="69"/>
      <c r="K190" s="73"/>
      <c r="L190" s="73"/>
      <c r="M190" s="73"/>
      <c r="N190" s="74"/>
      <c r="O190" s="74"/>
    </row>
    <row r="191" spans="1:15" ht="15.75">
      <c r="A191" s="65"/>
      <c r="B191" s="65"/>
      <c r="C191" s="66"/>
      <c r="D191" s="67" t="s">
        <v>156</v>
      </c>
      <c r="E191" s="68"/>
      <c r="F191" s="69"/>
      <c r="G191" s="69"/>
      <c r="H191" s="69"/>
      <c r="I191" s="69"/>
      <c r="J191" s="69"/>
      <c r="K191" s="73"/>
      <c r="L191" s="73"/>
      <c r="M191" s="73"/>
      <c r="N191" s="74"/>
      <c r="O191" s="74"/>
    </row>
    <row r="192" spans="1:15" ht="15.75">
      <c r="A192" s="65"/>
      <c r="B192" s="65"/>
      <c r="C192" s="66"/>
      <c r="D192" s="67"/>
      <c r="E192" s="68"/>
      <c r="F192" s="69"/>
      <c r="G192" s="69"/>
      <c r="H192" s="69"/>
      <c r="I192" s="69"/>
      <c r="J192" s="75" t="s">
        <v>0</v>
      </c>
      <c r="K192" s="73"/>
      <c r="L192" s="73"/>
      <c r="M192" s="73"/>
      <c r="N192" s="74"/>
      <c r="O192" s="74"/>
    </row>
    <row r="193" spans="1:15" s="39" customFormat="1" ht="15.75">
      <c r="A193" s="19"/>
      <c r="B193" s="19"/>
      <c r="C193" s="56"/>
      <c r="D193" s="71" t="s">
        <v>157</v>
      </c>
      <c r="E193" s="58">
        <f>SUM(E194:E205)</f>
        <v>6918173</v>
      </c>
      <c r="F193" s="58">
        <f>SUM(F194:F205)</f>
        <v>8577108.7</v>
      </c>
      <c r="G193" s="58">
        <f>SUM(G194:G205)</f>
        <v>6011694.7</v>
      </c>
      <c r="H193" s="58">
        <f>SUM(H194:H205)</f>
        <v>9208191.000000002</v>
      </c>
      <c r="I193" s="70">
        <f>H193-G193</f>
        <v>3196496.3000000017</v>
      </c>
      <c r="J193" s="33">
        <f aca="true" t="shared" si="14" ref="J193:J199">H193/G193*100</f>
        <v>153.17130126385163</v>
      </c>
      <c r="K193" s="37">
        <f t="shared" si="10"/>
        <v>631082.3000000026</v>
      </c>
      <c r="L193" s="37">
        <f t="shared" si="11"/>
        <v>107.35775098664662</v>
      </c>
      <c r="M193" s="58">
        <f>SUM(M194:M205)</f>
        <v>9139657.200000001</v>
      </c>
      <c r="N193" s="58">
        <f>SUM(N194:N205)</f>
        <v>8620874.100000001</v>
      </c>
      <c r="O193" s="58">
        <f>SUM(O194:O205)</f>
        <v>8958912.4</v>
      </c>
    </row>
    <row r="194" spans="1:15" ht="15.75">
      <c r="A194" s="19"/>
      <c r="B194" s="19"/>
      <c r="C194" s="20" t="s">
        <v>49</v>
      </c>
      <c r="D194" s="26" t="s">
        <v>50</v>
      </c>
      <c r="E194" s="44">
        <f aca="true" t="shared" si="15" ref="E194:H205">SUMIF($C$7:$C$188,$C194,E$7:E$188)</f>
        <v>4117281</v>
      </c>
      <c r="F194" s="44">
        <f t="shared" si="15"/>
        <v>5757879.3</v>
      </c>
      <c r="G194" s="44">
        <f t="shared" si="15"/>
        <v>3969247.7</v>
      </c>
      <c r="H194" s="44">
        <f t="shared" si="15"/>
        <v>5831495.1</v>
      </c>
      <c r="I194" s="17">
        <f aca="true" t="shared" si="16" ref="I194:I240">H194-G194</f>
        <v>1862247.3999999994</v>
      </c>
      <c r="J194" s="16">
        <f t="shared" si="14"/>
        <v>146.91688553475763</v>
      </c>
      <c r="K194" s="24">
        <f t="shared" si="10"/>
        <v>73615.79999999981</v>
      </c>
      <c r="L194" s="24">
        <f t="shared" si="11"/>
        <v>101.27852280613108</v>
      </c>
      <c r="M194" s="44">
        <f aca="true" t="shared" si="17" ref="M194:O205">SUMIF($C$7:$C$188,$C194,M$7:M$188)</f>
        <v>6062928.6</v>
      </c>
      <c r="N194" s="44">
        <f t="shared" si="17"/>
        <v>5523849.9</v>
      </c>
      <c r="O194" s="44">
        <f t="shared" si="17"/>
        <v>5747143</v>
      </c>
    </row>
    <row r="195" spans="1:15" ht="15.75">
      <c r="A195" s="19"/>
      <c r="B195" s="19"/>
      <c r="C195" s="20" t="s">
        <v>51</v>
      </c>
      <c r="D195" s="26" t="s">
        <v>52</v>
      </c>
      <c r="E195" s="44">
        <f t="shared" si="15"/>
        <v>389679.6</v>
      </c>
      <c r="F195" s="44">
        <f t="shared" si="15"/>
        <v>431806</v>
      </c>
      <c r="G195" s="44">
        <f t="shared" si="15"/>
        <v>314139.2</v>
      </c>
      <c r="H195" s="44">
        <f t="shared" si="15"/>
        <v>448438.3</v>
      </c>
      <c r="I195" s="17">
        <f t="shared" si="16"/>
        <v>134299.09999999998</v>
      </c>
      <c r="J195" s="16">
        <f t="shared" si="14"/>
        <v>142.75146177236078</v>
      </c>
      <c r="K195" s="24">
        <f t="shared" si="10"/>
        <v>16632.29999999999</v>
      </c>
      <c r="L195" s="24">
        <f t="shared" si="11"/>
        <v>103.85179918759813</v>
      </c>
      <c r="M195" s="44">
        <f t="shared" si="17"/>
        <v>436225</v>
      </c>
      <c r="N195" s="44">
        <f t="shared" si="17"/>
        <v>444803</v>
      </c>
      <c r="O195" s="44">
        <f t="shared" si="17"/>
        <v>444803</v>
      </c>
    </row>
    <row r="196" spans="1:15" ht="15.75">
      <c r="A196" s="19"/>
      <c r="B196" s="19"/>
      <c r="C196" s="20" t="s">
        <v>53</v>
      </c>
      <c r="D196" s="26" t="s">
        <v>54</v>
      </c>
      <c r="E196" s="44">
        <f t="shared" si="15"/>
        <v>640.3</v>
      </c>
      <c r="F196" s="44">
        <f t="shared" si="15"/>
        <v>1208</v>
      </c>
      <c r="G196" s="44">
        <f t="shared" si="15"/>
        <v>1205.5</v>
      </c>
      <c r="H196" s="44">
        <f t="shared" si="15"/>
        <v>167.7</v>
      </c>
      <c r="I196" s="17">
        <f t="shared" si="16"/>
        <v>-1037.8</v>
      </c>
      <c r="J196" s="16">
        <f t="shared" si="14"/>
        <v>13.911240149315635</v>
      </c>
      <c r="K196" s="24">
        <f t="shared" si="10"/>
        <v>-1040.3</v>
      </c>
      <c r="L196" s="24">
        <f t="shared" si="11"/>
        <v>13.882450331125826</v>
      </c>
      <c r="M196" s="44">
        <f t="shared" si="17"/>
        <v>205.4</v>
      </c>
      <c r="N196" s="44">
        <f t="shared" si="17"/>
        <v>205.4</v>
      </c>
      <c r="O196" s="44">
        <f t="shared" si="17"/>
        <v>205.4</v>
      </c>
    </row>
    <row r="197" spans="1:15" ht="15.75">
      <c r="A197" s="19"/>
      <c r="B197" s="19"/>
      <c r="C197" s="20" t="s">
        <v>55</v>
      </c>
      <c r="D197" s="26" t="s">
        <v>56</v>
      </c>
      <c r="E197" s="44">
        <f t="shared" si="15"/>
        <v>100378.3</v>
      </c>
      <c r="F197" s="44">
        <f t="shared" si="15"/>
        <v>110629.4</v>
      </c>
      <c r="G197" s="44">
        <f t="shared" si="15"/>
        <v>82908.1</v>
      </c>
      <c r="H197" s="44">
        <f t="shared" si="15"/>
        <v>121081.3</v>
      </c>
      <c r="I197" s="17">
        <f t="shared" si="16"/>
        <v>38173.2</v>
      </c>
      <c r="J197" s="22">
        <f t="shared" si="14"/>
        <v>146.04278713418833</v>
      </c>
      <c r="K197" s="24">
        <f t="shared" si="10"/>
        <v>10451.900000000009</v>
      </c>
      <c r="L197" s="24">
        <f t="shared" si="11"/>
        <v>109.44766942602962</v>
      </c>
      <c r="M197" s="44">
        <f t="shared" si="17"/>
        <v>113391</v>
      </c>
      <c r="N197" s="44">
        <f t="shared" si="17"/>
        <v>113391</v>
      </c>
      <c r="O197" s="44">
        <f t="shared" si="17"/>
        <v>113391</v>
      </c>
    </row>
    <row r="198" spans="1:15" ht="15.75">
      <c r="A198" s="19"/>
      <c r="B198" s="19"/>
      <c r="C198" s="20" t="s">
        <v>57</v>
      </c>
      <c r="D198" s="26" t="s">
        <v>58</v>
      </c>
      <c r="E198" s="44">
        <f t="shared" si="15"/>
        <v>2124853.4</v>
      </c>
      <c r="F198" s="44">
        <f t="shared" si="15"/>
        <v>2131261</v>
      </c>
      <c r="G198" s="44">
        <f t="shared" si="15"/>
        <v>1538723.2</v>
      </c>
      <c r="H198" s="44">
        <f t="shared" si="15"/>
        <v>2580582.1</v>
      </c>
      <c r="I198" s="17">
        <f t="shared" si="16"/>
        <v>1041858.9000000001</v>
      </c>
      <c r="J198" s="22">
        <f t="shared" si="14"/>
        <v>167.70931250012998</v>
      </c>
      <c r="K198" s="24">
        <f t="shared" si="10"/>
        <v>449321.1000000001</v>
      </c>
      <c r="L198" s="24">
        <f t="shared" si="11"/>
        <v>121.08240614359293</v>
      </c>
      <c r="M198" s="44">
        <f t="shared" si="17"/>
        <v>2320048</v>
      </c>
      <c r="N198" s="44">
        <f t="shared" si="17"/>
        <v>2320048</v>
      </c>
      <c r="O198" s="44">
        <f t="shared" si="17"/>
        <v>2432736.3</v>
      </c>
    </row>
    <row r="199" spans="1:15" ht="15.75">
      <c r="A199" s="19"/>
      <c r="B199" s="19"/>
      <c r="C199" s="20" t="s">
        <v>59</v>
      </c>
      <c r="D199" s="26" t="s">
        <v>60</v>
      </c>
      <c r="E199" s="44">
        <f t="shared" si="15"/>
        <v>37151.4</v>
      </c>
      <c r="F199" s="44">
        <f t="shared" si="15"/>
        <v>35895</v>
      </c>
      <c r="G199" s="44">
        <f t="shared" si="15"/>
        <v>24959</v>
      </c>
      <c r="H199" s="44">
        <f t="shared" si="15"/>
        <v>59359.8</v>
      </c>
      <c r="I199" s="17">
        <f t="shared" si="16"/>
        <v>34400.8</v>
      </c>
      <c r="J199" s="22">
        <f t="shared" si="14"/>
        <v>237.8292399535238</v>
      </c>
      <c r="K199" s="24">
        <f t="shared" si="10"/>
        <v>23464.800000000003</v>
      </c>
      <c r="L199" s="24">
        <f t="shared" si="11"/>
        <v>165.37066443794401</v>
      </c>
      <c r="M199" s="44">
        <f t="shared" si="17"/>
        <v>41051.9</v>
      </c>
      <c r="N199" s="44">
        <f t="shared" si="17"/>
        <v>45051.9</v>
      </c>
      <c r="O199" s="44">
        <f t="shared" si="17"/>
        <v>55138.4</v>
      </c>
    </row>
    <row r="200" spans="1:15" ht="81.75" customHeight="1">
      <c r="A200" s="19"/>
      <c r="B200" s="19"/>
      <c r="C200" s="47" t="s">
        <v>71</v>
      </c>
      <c r="D200" s="48" t="s">
        <v>72</v>
      </c>
      <c r="E200" s="44">
        <f t="shared" si="15"/>
        <v>335.3</v>
      </c>
      <c r="F200" s="44">
        <f t="shared" si="15"/>
        <v>198</v>
      </c>
      <c r="G200" s="44">
        <f t="shared" si="15"/>
        <v>155</v>
      </c>
      <c r="H200" s="44">
        <f t="shared" si="15"/>
        <v>229.4</v>
      </c>
      <c r="I200" s="17">
        <f>H200-G200</f>
        <v>74.4</v>
      </c>
      <c r="J200" s="22">
        <f>H200/G200*100</f>
        <v>148</v>
      </c>
      <c r="K200" s="24">
        <f>H200-F200</f>
        <v>31.400000000000006</v>
      </c>
      <c r="L200" s="24">
        <f>H200/F200*100</f>
        <v>115.85858585858585</v>
      </c>
      <c r="M200" s="44">
        <f t="shared" si="17"/>
        <v>350.4</v>
      </c>
      <c r="N200" s="44">
        <f t="shared" si="17"/>
        <v>350</v>
      </c>
      <c r="O200" s="44">
        <f t="shared" si="17"/>
        <v>230</v>
      </c>
    </row>
    <row r="201" spans="1:15" ht="31.5">
      <c r="A201" s="19"/>
      <c r="B201" s="19"/>
      <c r="C201" s="50" t="s">
        <v>73</v>
      </c>
      <c r="D201" s="48" t="s">
        <v>74</v>
      </c>
      <c r="E201" s="44">
        <f t="shared" si="15"/>
        <v>0</v>
      </c>
      <c r="F201" s="44">
        <f t="shared" si="15"/>
        <v>0</v>
      </c>
      <c r="G201" s="44">
        <f t="shared" si="15"/>
        <v>0</v>
      </c>
      <c r="H201" s="44">
        <f t="shared" si="15"/>
        <v>0</v>
      </c>
      <c r="I201" s="17">
        <f>H201-G201</f>
        <v>0</v>
      </c>
      <c r="J201" s="22"/>
      <c r="K201" s="24">
        <f>H201-F201</f>
        <v>0</v>
      </c>
      <c r="L201" s="24"/>
      <c r="M201" s="44">
        <f t="shared" si="17"/>
        <v>0</v>
      </c>
      <c r="N201" s="44">
        <f t="shared" si="17"/>
        <v>0</v>
      </c>
      <c r="O201" s="44">
        <f t="shared" si="17"/>
        <v>0</v>
      </c>
    </row>
    <row r="202" spans="1:15" ht="63">
      <c r="A202" s="19"/>
      <c r="B202" s="19"/>
      <c r="C202" s="51" t="s">
        <v>75</v>
      </c>
      <c r="D202" s="48" t="s">
        <v>76</v>
      </c>
      <c r="E202" s="44">
        <f t="shared" si="15"/>
        <v>0</v>
      </c>
      <c r="F202" s="44">
        <f t="shared" si="15"/>
        <v>0</v>
      </c>
      <c r="G202" s="44">
        <f t="shared" si="15"/>
        <v>0</v>
      </c>
      <c r="H202" s="44">
        <f t="shared" si="15"/>
        <v>360.3</v>
      </c>
      <c r="I202" s="17">
        <f>H202-G202</f>
        <v>360.3</v>
      </c>
      <c r="J202" s="22"/>
      <c r="K202" s="24">
        <f>H202-F202</f>
        <v>360.3</v>
      </c>
      <c r="L202" s="24"/>
      <c r="M202" s="44">
        <f t="shared" si="17"/>
        <v>225</v>
      </c>
      <c r="N202" s="44">
        <f t="shared" si="17"/>
        <v>300</v>
      </c>
      <c r="O202" s="44">
        <f t="shared" si="17"/>
        <v>343.7</v>
      </c>
    </row>
    <row r="203" spans="1:15" ht="15.75">
      <c r="A203" s="19"/>
      <c r="B203" s="19"/>
      <c r="C203" s="20" t="s">
        <v>65</v>
      </c>
      <c r="D203" s="26" t="s">
        <v>66</v>
      </c>
      <c r="E203" s="44">
        <f t="shared" si="15"/>
        <v>98956.8</v>
      </c>
      <c r="F203" s="44">
        <f t="shared" si="15"/>
        <v>107932</v>
      </c>
      <c r="G203" s="44">
        <f t="shared" si="15"/>
        <v>80132</v>
      </c>
      <c r="H203" s="44">
        <f t="shared" si="15"/>
        <v>98153.79999999999</v>
      </c>
      <c r="I203" s="17">
        <f t="shared" si="16"/>
        <v>18021.79999999999</v>
      </c>
      <c r="J203" s="22">
        <f>H203/G203*100</f>
        <v>122.49014126690957</v>
      </c>
      <c r="K203" s="24">
        <f t="shared" si="10"/>
        <v>-9778.200000000012</v>
      </c>
      <c r="L203" s="24">
        <f t="shared" si="11"/>
        <v>90.94040692287736</v>
      </c>
      <c r="M203" s="44">
        <f t="shared" si="17"/>
        <v>105595.3</v>
      </c>
      <c r="N203" s="44">
        <f t="shared" si="17"/>
        <v>101511.4</v>
      </c>
      <c r="O203" s="44">
        <f t="shared" si="17"/>
        <v>96550</v>
      </c>
    </row>
    <row r="204" spans="1:15" ht="31.5">
      <c r="A204" s="19"/>
      <c r="B204" s="19"/>
      <c r="C204" s="20" t="s">
        <v>132</v>
      </c>
      <c r="D204" s="26" t="s">
        <v>133</v>
      </c>
      <c r="E204" s="44">
        <f t="shared" si="15"/>
        <v>3224</v>
      </c>
      <c r="F204" s="44">
        <f t="shared" si="15"/>
        <v>300</v>
      </c>
      <c r="G204" s="44">
        <f t="shared" si="15"/>
        <v>225</v>
      </c>
      <c r="H204" s="44">
        <f t="shared" si="15"/>
        <v>5304</v>
      </c>
      <c r="I204" s="17">
        <f t="shared" si="16"/>
        <v>5079</v>
      </c>
      <c r="J204" s="22">
        <f>H204/G204*100</f>
        <v>2357.3333333333335</v>
      </c>
      <c r="K204" s="24">
        <f t="shared" si="10"/>
        <v>5004</v>
      </c>
      <c r="L204" s="24">
        <f t="shared" si="11"/>
        <v>1768</v>
      </c>
      <c r="M204" s="44">
        <f t="shared" si="17"/>
        <v>5547</v>
      </c>
      <c r="N204" s="44">
        <f t="shared" si="17"/>
        <v>6191.3</v>
      </c>
      <c r="O204" s="44">
        <f t="shared" si="17"/>
        <v>6191.3</v>
      </c>
    </row>
    <row r="205" spans="1:15" ht="15.75">
      <c r="A205" s="19"/>
      <c r="B205" s="19"/>
      <c r="C205" s="20" t="s">
        <v>61</v>
      </c>
      <c r="D205" s="26" t="s">
        <v>62</v>
      </c>
      <c r="E205" s="44">
        <f t="shared" si="15"/>
        <v>45672.9</v>
      </c>
      <c r="F205" s="44">
        <f t="shared" si="15"/>
        <v>0</v>
      </c>
      <c r="G205" s="44">
        <f t="shared" si="15"/>
        <v>0</v>
      </c>
      <c r="H205" s="44">
        <f t="shared" si="15"/>
        <v>63019.2</v>
      </c>
      <c r="I205" s="17">
        <f t="shared" si="16"/>
        <v>63019.2</v>
      </c>
      <c r="J205" s="22"/>
      <c r="K205" s="24">
        <f t="shared" si="10"/>
        <v>63019.2</v>
      </c>
      <c r="L205" s="24"/>
      <c r="M205" s="44">
        <f t="shared" si="17"/>
        <v>54089.6</v>
      </c>
      <c r="N205" s="44">
        <f t="shared" si="17"/>
        <v>65172.2</v>
      </c>
      <c r="O205" s="44">
        <f t="shared" si="17"/>
        <v>62180.3</v>
      </c>
    </row>
    <row r="206" spans="1:15" s="39" customFormat="1" ht="15.75">
      <c r="A206" s="19"/>
      <c r="B206" s="19"/>
      <c r="C206" s="56"/>
      <c r="D206" s="71" t="s">
        <v>158</v>
      </c>
      <c r="E206" s="58">
        <f>SUM(E207:E229)</f>
        <v>3680989</v>
      </c>
      <c r="F206" s="58">
        <f>SUM(F207:F229)</f>
        <v>4408554.199999999</v>
      </c>
      <c r="G206" s="58">
        <f>SUM(G207:G229)</f>
        <v>3406579.8</v>
      </c>
      <c r="H206" s="58">
        <f>SUM(H207:H229)</f>
        <v>3255548.62049</v>
      </c>
      <c r="I206" s="34">
        <f t="shared" si="16"/>
        <v>-151031.1795099997</v>
      </c>
      <c r="J206" s="35">
        <f>H206/G206*100</f>
        <v>95.56648637704012</v>
      </c>
      <c r="K206" s="37">
        <f t="shared" si="10"/>
        <v>-1153005.5795099991</v>
      </c>
      <c r="L206" s="37">
        <f t="shared" si="11"/>
        <v>73.8461743419192</v>
      </c>
      <c r="M206" s="58">
        <f>SUM(M207:M229)</f>
        <v>170021.4</v>
      </c>
      <c r="N206" s="58">
        <f>SUM(N207:N229)</f>
        <v>3167807.6999999997</v>
      </c>
      <c r="O206" s="58">
        <f>SUM(O207:O229)</f>
        <v>3188719.1999999997</v>
      </c>
    </row>
    <row r="207" spans="1:15" ht="15.75">
      <c r="A207" s="19"/>
      <c r="B207" s="19"/>
      <c r="C207" s="20" t="s">
        <v>18</v>
      </c>
      <c r="D207" s="26" t="s">
        <v>19</v>
      </c>
      <c r="E207" s="44">
        <f aca="true" t="shared" si="18" ref="E207:H229">SUMIF($C$7:$C$188,$C207,E$7:E$188)</f>
        <v>578.8</v>
      </c>
      <c r="F207" s="44">
        <f t="shared" si="18"/>
        <v>0</v>
      </c>
      <c r="G207" s="44">
        <f t="shared" si="18"/>
        <v>0</v>
      </c>
      <c r="H207" s="44">
        <f t="shared" si="18"/>
        <v>1068.2</v>
      </c>
      <c r="I207" s="17">
        <f t="shared" si="16"/>
        <v>1068.2</v>
      </c>
      <c r="J207" s="22"/>
      <c r="K207" s="24">
        <f t="shared" si="10"/>
        <v>1068.2</v>
      </c>
      <c r="L207" s="24"/>
      <c r="M207" s="44">
        <f aca="true" t="shared" si="19" ref="M207:O229">SUMIF($C$7:$C$188,$C207,M$7:M$188)</f>
        <v>0</v>
      </c>
      <c r="N207" s="44">
        <f t="shared" si="19"/>
        <v>0</v>
      </c>
      <c r="O207" s="44">
        <f t="shared" si="19"/>
        <v>1068.2</v>
      </c>
    </row>
    <row r="208" spans="1:15" ht="31.5" customHeight="1" hidden="1">
      <c r="A208" s="19"/>
      <c r="B208" s="19"/>
      <c r="C208" s="20" t="s">
        <v>83</v>
      </c>
      <c r="D208" s="26" t="s">
        <v>84</v>
      </c>
      <c r="E208" s="44">
        <f t="shared" si="18"/>
        <v>0</v>
      </c>
      <c r="F208" s="44">
        <f t="shared" si="18"/>
        <v>0</v>
      </c>
      <c r="G208" s="44">
        <f t="shared" si="18"/>
        <v>0</v>
      </c>
      <c r="H208" s="44">
        <f t="shared" si="18"/>
        <v>0</v>
      </c>
      <c r="I208" s="17">
        <f t="shared" si="16"/>
        <v>0</v>
      </c>
      <c r="J208" s="22"/>
      <c r="K208" s="24">
        <f t="shared" si="10"/>
        <v>0</v>
      </c>
      <c r="L208" s="24" t="e">
        <f t="shared" si="11"/>
        <v>#DIV/0!</v>
      </c>
      <c r="M208" s="44">
        <f t="shared" si="19"/>
        <v>0</v>
      </c>
      <c r="N208" s="44">
        <f t="shared" si="19"/>
        <v>0</v>
      </c>
      <c r="O208" s="44">
        <f t="shared" si="19"/>
        <v>0</v>
      </c>
    </row>
    <row r="209" spans="1:15" ht="78.75">
      <c r="A209" s="19"/>
      <c r="B209" s="19"/>
      <c r="C209" s="27" t="s">
        <v>97</v>
      </c>
      <c r="D209" s="55" t="s">
        <v>159</v>
      </c>
      <c r="E209" s="44">
        <f t="shared" si="18"/>
        <v>922934.6</v>
      </c>
      <c r="F209" s="44">
        <f t="shared" si="18"/>
        <v>1518448</v>
      </c>
      <c r="G209" s="44">
        <f t="shared" si="18"/>
        <v>1076167.4</v>
      </c>
      <c r="H209" s="44">
        <f t="shared" si="18"/>
        <v>1245719.7999999998</v>
      </c>
      <c r="I209" s="17">
        <f t="shared" si="16"/>
        <v>169552.3999999999</v>
      </c>
      <c r="J209" s="22">
        <f>H209/G209*100</f>
        <v>115.75520685722313</v>
      </c>
      <c r="K209" s="24">
        <f t="shared" si="10"/>
        <v>-272728.2000000002</v>
      </c>
      <c r="L209" s="24">
        <f t="shared" si="11"/>
        <v>82.0390161533355</v>
      </c>
      <c r="M209" s="44">
        <f t="shared" si="19"/>
        <v>0</v>
      </c>
      <c r="N209" s="44">
        <f t="shared" si="19"/>
        <v>1258132.3</v>
      </c>
      <c r="O209" s="44">
        <f t="shared" si="19"/>
        <v>1231065.2</v>
      </c>
    </row>
    <row r="210" spans="1:15" ht="31.5">
      <c r="A210" s="19"/>
      <c r="B210" s="19"/>
      <c r="C210" s="20" t="s">
        <v>146</v>
      </c>
      <c r="D210" s="26" t="s">
        <v>147</v>
      </c>
      <c r="E210" s="44">
        <f t="shared" si="18"/>
        <v>1645.4</v>
      </c>
      <c r="F210" s="44">
        <f t="shared" si="18"/>
        <v>13857</v>
      </c>
      <c r="G210" s="44">
        <f t="shared" si="18"/>
        <v>6928.5</v>
      </c>
      <c r="H210" s="44">
        <f t="shared" si="18"/>
        <v>15394</v>
      </c>
      <c r="I210" s="17">
        <f t="shared" si="16"/>
        <v>8465.5</v>
      </c>
      <c r="J210" s="22">
        <f>H210/G210*100</f>
        <v>222.1837338529263</v>
      </c>
      <c r="K210" s="24">
        <f t="shared" si="10"/>
        <v>1537</v>
      </c>
      <c r="L210" s="24">
        <f t="shared" si="11"/>
        <v>111.09186692646315</v>
      </c>
      <c r="M210" s="44">
        <f t="shared" si="19"/>
        <v>0</v>
      </c>
      <c r="N210" s="44">
        <f t="shared" si="19"/>
        <v>15242.7</v>
      </c>
      <c r="O210" s="44">
        <f t="shared" si="19"/>
        <v>15381.7</v>
      </c>
    </row>
    <row r="211" spans="1:15" ht="15.75">
      <c r="A211" s="19"/>
      <c r="B211" s="19"/>
      <c r="C211" s="20" t="s">
        <v>20</v>
      </c>
      <c r="D211" s="21" t="s">
        <v>134</v>
      </c>
      <c r="E211" s="44">
        <f t="shared" si="18"/>
        <v>694636.2000000001</v>
      </c>
      <c r="F211" s="44">
        <f t="shared" si="18"/>
        <v>535769</v>
      </c>
      <c r="G211" s="44">
        <f t="shared" si="18"/>
        <v>400000</v>
      </c>
      <c r="H211" s="44">
        <f t="shared" si="18"/>
        <v>689120.7000000001</v>
      </c>
      <c r="I211" s="17">
        <f t="shared" si="16"/>
        <v>289120.70000000007</v>
      </c>
      <c r="J211" s="22">
        <f>H211/G211*100</f>
        <v>172.280175</v>
      </c>
      <c r="K211" s="24">
        <f t="shared" si="10"/>
        <v>153351.70000000007</v>
      </c>
      <c r="L211" s="24">
        <f t="shared" si="11"/>
        <v>128.62272733211515</v>
      </c>
      <c r="M211" s="44">
        <f t="shared" si="19"/>
        <v>0</v>
      </c>
      <c r="N211" s="44">
        <f t="shared" si="19"/>
        <v>681948.4</v>
      </c>
      <c r="O211" s="44">
        <f t="shared" si="19"/>
        <v>681948.4</v>
      </c>
    </row>
    <row r="212" spans="1:15" ht="16.5" customHeight="1">
      <c r="A212" s="19"/>
      <c r="B212" s="19"/>
      <c r="C212" s="20" t="s">
        <v>22</v>
      </c>
      <c r="D212" s="26" t="s">
        <v>23</v>
      </c>
      <c r="E212" s="44">
        <f t="shared" si="18"/>
        <v>4405.4</v>
      </c>
      <c r="F212" s="44">
        <f t="shared" si="18"/>
        <v>3792.7</v>
      </c>
      <c r="G212" s="44">
        <f t="shared" si="18"/>
        <v>3792.7</v>
      </c>
      <c r="H212" s="44">
        <f t="shared" si="18"/>
        <v>6228.4</v>
      </c>
      <c r="I212" s="17">
        <f t="shared" si="16"/>
        <v>2435.7</v>
      </c>
      <c r="J212" s="22">
        <f>H212/G212*100</f>
        <v>164.22073984232867</v>
      </c>
      <c r="K212" s="24">
        <f t="shared" si="10"/>
        <v>2435.7</v>
      </c>
      <c r="L212" s="24">
        <f aca="true" t="shared" si="20" ref="L212:L240">H212/F212*100</f>
        <v>164.22073984232867</v>
      </c>
      <c r="M212" s="44">
        <f t="shared" si="19"/>
        <v>0</v>
      </c>
      <c r="N212" s="44">
        <f t="shared" si="19"/>
        <v>6162</v>
      </c>
      <c r="O212" s="44">
        <f t="shared" si="19"/>
        <v>6228.4</v>
      </c>
    </row>
    <row r="213" spans="1:15" ht="15.75" customHeight="1" hidden="1">
      <c r="A213" s="19"/>
      <c r="B213" s="19"/>
      <c r="C213" s="20" t="s">
        <v>24</v>
      </c>
      <c r="D213" s="26" t="s">
        <v>25</v>
      </c>
      <c r="E213" s="44">
        <f t="shared" si="18"/>
        <v>0</v>
      </c>
      <c r="F213" s="44">
        <f t="shared" si="18"/>
        <v>0</v>
      </c>
      <c r="G213" s="44">
        <f t="shared" si="18"/>
        <v>0</v>
      </c>
      <c r="H213" s="44">
        <f t="shared" si="18"/>
        <v>0</v>
      </c>
      <c r="I213" s="17">
        <f t="shared" si="16"/>
        <v>0</v>
      </c>
      <c r="J213" s="22"/>
      <c r="K213" s="24">
        <f aca="true" t="shared" si="21" ref="K213:K240">H213-F213</f>
        <v>0</v>
      </c>
      <c r="L213" s="24" t="e">
        <f t="shared" si="20"/>
        <v>#DIV/0!</v>
      </c>
      <c r="M213" s="44">
        <f t="shared" si="19"/>
        <v>0</v>
      </c>
      <c r="N213" s="44">
        <f t="shared" si="19"/>
        <v>0</v>
      </c>
      <c r="O213" s="44">
        <f t="shared" si="19"/>
        <v>0</v>
      </c>
    </row>
    <row r="214" spans="1:15" ht="63">
      <c r="A214" s="19"/>
      <c r="B214" s="19"/>
      <c r="C214" s="27" t="s">
        <v>26</v>
      </c>
      <c r="D214" s="28" t="s">
        <v>160</v>
      </c>
      <c r="E214" s="44">
        <f t="shared" si="18"/>
        <v>141807.8</v>
      </c>
      <c r="F214" s="44">
        <f t="shared" si="18"/>
        <v>87876</v>
      </c>
      <c r="G214" s="44">
        <f t="shared" si="18"/>
        <v>71387.2</v>
      </c>
      <c r="H214" s="44">
        <f t="shared" si="18"/>
        <v>117565.4</v>
      </c>
      <c r="I214" s="17">
        <f t="shared" si="16"/>
        <v>46178.2</v>
      </c>
      <c r="J214" s="22">
        <f>H214/G214*100</f>
        <v>164.68694667951678</v>
      </c>
      <c r="K214" s="24">
        <f t="shared" si="21"/>
        <v>29689.399999999994</v>
      </c>
      <c r="L214" s="24">
        <f t="shared" si="20"/>
        <v>133.78556147298465</v>
      </c>
      <c r="M214" s="44">
        <f t="shared" si="19"/>
        <v>0</v>
      </c>
      <c r="N214" s="44">
        <f t="shared" si="19"/>
        <v>100447.79999999999</v>
      </c>
      <c r="O214" s="44">
        <f t="shared" si="19"/>
        <v>113077.40000000001</v>
      </c>
    </row>
    <row r="215" spans="1:15" ht="15.75">
      <c r="A215" s="19"/>
      <c r="B215" s="19"/>
      <c r="C215" s="20" t="s">
        <v>79</v>
      </c>
      <c r="D215" s="26" t="s">
        <v>80</v>
      </c>
      <c r="E215" s="44">
        <f t="shared" si="18"/>
        <v>26663.5</v>
      </c>
      <c r="F215" s="44">
        <f t="shared" si="18"/>
        <v>18726.9</v>
      </c>
      <c r="G215" s="44">
        <f t="shared" si="18"/>
        <v>13951.5</v>
      </c>
      <c r="H215" s="44">
        <f t="shared" si="18"/>
        <v>20546.8</v>
      </c>
      <c r="I215" s="17">
        <f t="shared" si="16"/>
        <v>6595.299999999999</v>
      </c>
      <c r="J215" s="22">
        <f>H215/G215*100</f>
        <v>147.2730530767301</v>
      </c>
      <c r="K215" s="24">
        <f t="shared" si="21"/>
        <v>1819.8999999999978</v>
      </c>
      <c r="L215" s="24">
        <f t="shared" si="20"/>
        <v>109.71810603997456</v>
      </c>
      <c r="M215" s="44">
        <f t="shared" si="19"/>
        <v>21649.9</v>
      </c>
      <c r="N215" s="44">
        <f t="shared" si="19"/>
        <v>21649.9</v>
      </c>
      <c r="O215" s="44">
        <f t="shared" si="19"/>
        <v>18726.9</v>
      </c>
    </row>
    <row r="216" spans="1:15" ht="31.5">
      <c r="A216" s="19"/>
      <c r="B216" s="19"/>
      <c r="C216" s="20" t="s">
        <v>28</v>
      </c>
      <c r="D216" s="29" t="s">
        <v>29</v>
      </c>
      <c r="E216" s="44">
        <f t="shared" si="18"/>
        <v>4501.5</v>
      </c>
      <c r="F216" s="44">
        <f t="shared" si="18"/>
        <v>0</v>
      </c>
      <c r="G216" s="44">
        <f t="shared" si="18"/>
        <v>0</v>
      </c>
      <c r="H216" s="44">
        <f t="shared" si="18"/>
        <v>10041.799999999997</v>
      </c>
      <c r="I216" s="17">
        <f t="shared" si="16"/>
        <v>10041.799999999997</v>
      </c>
      <c r="J216" s="22"/>
      <c r="K216" s="24">
        <f t="shared" si="21"/>
        <v>10041.799999999997</v>
      </c>
      <c r="L216" s="24"/>
      <c r="M216" s="44">
        <f t="shared" si="19"/>
        <v>0</v>
      </c>
      <c r="N216" s="44">
        <f t="shared" si="19"/>
        <v>8163.5999999999985</v>
      </c>
      <c r="O216" s="44">
        <f t="shared" si="19"/>
        <v>8163.5999999999985</v>
      </c>
    </row>
    <row r="217" spans="1:15" ht="15.75">
      <c r="A217" s="19"/>
      <c r="B217" s="19"/>
      <c r="C217" s="20" t="s">
        <v>118</v>
      </c>
      <c r="D217" s="26" t="s">
        <v>119</v>
      </c>
      <c r="E217" s="44">
        <f t="shared" si="18"/>
        <v>1212</v>
      </c>
      <c r="F217" s="44">
        <f t="shared" si="18"/>
        <v>1460</v>
      </c>
      <c r="G217" s="44">
        <f t="shared" si="18"/>
        <v>1000</v>
      </c>
      <c r="H217" s="44">
        <f t="shared" si="18"/>
        <v>839.7</v>
      </c>
      <c r="I217" s="17">
        <f t="shared" si="16"/>
        <v>-160.29999999999995</v>
      </c>
      <c r="J217" s="22">
        <f>H217/G217*100</f>
        <v>83.97</v>
      </c>
      <c r="K217" s="24">
        <f t="shared" si="21"/>
        <v>-620.3</v>
      </c>
      <c r="L217" s="24">
        <f t="shared" si="20"/>
        <v>57.513698630136986</v>
      </c>
      <c r="M217" s="44">
        <f t="shared" si="19"/>
        <v>0</v>
      </c>
      <c r="N217" s="44">
        <f t="shared" si="19"/>
        <v>839.8</v>
      </c>
      <c r="O217" s="44">
        <f t="shared" si="19"/>
        <v>839.8</v>
      </c>
    </row>
    <row r="218" spans="1:15" ht="15.75" customHeight="1" hidden="1">
      <c r="A218" s="19"/>
      <c r="B218" s="19"/>
      <c r="C218" s="20" t="s">
        <v>161</v>
      </c>
      <c r="D218" s="26" t="s">
        <v>162</v>
      </c>
      <c r="E218" s="44">
        <f t="shared" si="18"/>
        <v>0</v>
      </c>
      <c r="F218" s="44">
        <f t="shared" si="18"/>
        <v>0</v>
      </c>
      <c r="G218" s="44">
        <f t="shared" si="18"/>
        <v>0</v>
      </c>
      <c r="H218" s="44">
        <f t="shared" si="18"/>
        <v>0</v>
      </c>
      <c r="I218" s="17">
        <f t="shared" si="16"/>
        <v>0</v>
      </c>
      <c r="J218" s="22" t="e">
        <f>H218/G218*100</f>
        <v>#DIV/0!</v>
      </c>
      <c r="K218" s="24">
        <f t="shared" si="21"/>
        <v>0</v>
      </c>
      <c r="L218" s="24" t="e">
        <f t="shared" si="20"/>
        <v>#DIV/0!</v>
      </c>
      <c r="M218" s="44">
        <f t="shared" si="19"/>
        <v>0</v>
      </c>
      <c r="N218" s="44">
        <f t="shared" si="19"/>
        <v>0</v>
      </c>
      <c r="O218" s="44">
        <f t="shared" si="19"/>
        <v>0</v>
      </c>
    </row>
    <row r="219" spans="1:15" ht="31.5" customHeight="1">
      <c r="A219" s="19"/>
      <c r="B219" s="19"/>
      <c r="C219" s="20" t="s">
        <v>30</v>
      </c>
      <c r="D219" s="26" t="s">
        <v>163</v>
      </c>
      <c r="E219" s="44">
        <f t="shared" si="18"/>
        <v>39.3</v>
      </c>
      <c r="F219" s="44">
        <f t="shared" si="18"/>
        <v>0</v>
      </c>
      <c r="G219" s="44">
        <f t="shared" si="18"/>
        <v>0</v>
      </c>
      <c r="H219" s="44">
        <f t="shared" si="18"/>
        <v>65.8</v>
      </c>
      <c r="I219" s="17">
        <f t="shared" si="16"/>
        <v>65.8</v>
      </c>
      <c r="J219" s="22"/>
      <c r="K219" s="24">
        <f t="shared" si="21"/>
        <v>65.8</v>
      </c>
      <c r="L219" s="24"/>
      <c r="M219" s="44">
        <f t="shared" si="19"/>
        <v>0</v>
      </c>
      <c r="N219" s="44">
        <f t="shared" si="19"/>
        <v>0</v>
      </c>
      <c r="O219" s="44">
        <f t="shared" si="19"/>
        <v>0</v>
      </c>
    </row>
    <row r="220" spans="1:15" ht="78.75">
      <c r="A220" s="19"/>
      <c r="B220" s="19"/>
      <c r="C220" s="27" t="s">
        <v>32</v>
      </c>
      <c r="D220" s="30" t="s">
        <v>33</v>
      </c>
      <c r="E220" s="44">
        <f t="shared" si="18"/>
        <v>0</v>
      </c>
      <c r="F220" s="44">
        <f t="shared" si="18"/>
        <v>0</v>
      </c>
      <c r="G220" s="44">
        <f t="shared" si="18"/>
        <v>0</v>
      </c>
      <c r="H220" s="44">
        <f t="shared" si="18"/>
        <v>234</v>
      </c>
      <c r="I220" s="17">
        <f>H220-G220</f>
        <v>234</v>
      </c>
      <c r="J220" s="22"/>
      <c r="K220" s="24">
        <f>H220-F220</f>
        <v>234</v>
      </c>
      <c r="L220" s="24"/>
      <c r="M220" s="44">
        <f t="shared" si="19"/>
        <v>0</v>
      </c>
      <c r="N220" s="44">
        <f t="shared" si="19"/>
        <v>0</v>
      </c>
      <c r="O220" s="44">
        <f t="shared" si="19"/>
        <v>176.7</v>
      </c>
    </row>
    <row r="221" spans="1:15" ht="78.75">
      <c r="A221" s="19"/>
      <c r="B221" s="19"/>
      <c r="C221" s="27" t="s">
        <v>34</v>
      </c>
      <c r="D221" s="28" t="s">
        <v>164</v>
      </c>
      <c r="E221" s="44">
        <f t="shared" si="18"/>
        <v>1044394.8</v>
      </c>
      <c r="F221" s="44">
        <f t="shared" si="18"/>
        <v>1122450.5</v>
      </c>
      <c r="G221" s="44">
        <f t="shared" si="18"/>
        <v>1017609.9</v>
      </c>
      <c r="H221" s="44">
        <f t="shared" si="18"/>
        <v>396685.7</v>
      </c>
      <c r="I221" s="17">
        <f t="shared" si="16"/>
        <v>-620924.2</v>
      </c>
      <c r="J221" s="22">
        <f>H221/G221*100</f>
        <v>38.982099132486816</v>
      </c>
      <c r="K221" s="24">
        <f t="shared" si="21"/>
        <v>-725764.8</v>
      </c>
      <c r="L221" s="24">
        <f t="shared" si="20"/>
        <v>35.341041765316156</v>
      </c>
      <c r="M221" s="44">
        <f t="shared" si="19"/>
        <v>0</v>
      </c>
      <c r="N221" s="44">
        <f t="shared" si="19"/>
        <v>416175</v>
      </c>
      <c r="O221" s="44">
        <f t="shared" si="19"/>
        <v>373035.1</v>
      </c>
    </row>
    <row r="222" spans="1:15" ht="47.25">
      <c r="A222" s="19"/>
      <c r="B222" s="19"/>
      <c r="C222" s="27" t="s">
        <v>99</v>
      </c>
      <c r="D222" s="28" t="s">
        <v>100</v>
      </c>
      <c r="E222" s="44">
        <f t="shared" si="18"/>
        <v>620719.5</v>
      </c>
      <c r="F222" s="44">
        <f t="shared" si="18"/>
        <v>987695</v>
      </c>
      <c r="G222" s="44">
        <f t="shared" si="18"/>
        <v>735286.6</v>
      </c>
      <c r="H222" s="44">
        <f t="shared" si="18"/>
        <v>549443.4</v>
      </c>
      <c r="I222" s="17">
        <f t="shared" si="16"/>
        <v>-185843.19999999995</v>
      </c>
      <c r="J222" s="22">
        <f>H222/G222*100</f>
        <v>74.72506638907876</v>
      </c>
      <c r="K222" s="24">
        <f t="shared" si="21"/>
        <v>-438251.6</v>
      </c>
      <c r="L222" s="24">
        <f t="shared" si="20"/>
        <v>55.62885303661555</v>
      </c>
      <c r="M222" s="44">
        <f t="shared" si="19"/>
        <v>0</v>
      </c>
      <c r="N222" s="44">
        <f t="shared" si="19"/>
        <v>470150.3</v>
      </c>
      <c r="O222" s="44">
        <f t="shared" si="19"/>
        <v>540150.3</v>
      </c>
    </row>
    <row r="223" spans="1:15" ht="63.75" customHeight="1">
      <c r="A223" s="19"/>
      <c r="B223" s="19"/>
      <c r="C223" s="27" t="s">
        <v>36</v>
      </c>
      <c r="D223" s="28" t="s">
        <v>165</v>
      </c>
      <c r="E223" s="44">
        <f t="shared" si="18"/>
        <v>87155.7</v>
      </c>
      <c r="F223" s="44">
        <f t="shared" si="18"/>
        <v>0</v>
      </c>
      <c r="G223" s="44">
        <f t="shared" si="18"/>
        <v>0</v>
      </c>
      <c r="H223" s="44">
        <f t="shared" si="18"/>
        <v>0</v>
      </c>
      <c r="I223" s="17">
        <f>H223-G223</f>
        <v>0</v>
      </c>
      <c r="J223" s="22"/>
      <c r="K223" s="24">
        <f t="shared" si="21"/>
        <v>0</v>
      </c>
      <c r="L223" s="24"/>
      <c r="M223" s="44">
        <f t="shared" si="19"/>
        <v>0</v>
      </c>
      <c r="N223" s="44">
        <f t="shared" si="19"/>
        <v>0</v>
      </c>
      <c r="O223" s="44">
        <f t="shared" si="19"/>
        <v>0</v>
      </c>
    </row>
    <row r="224" spans="1:15" ht="31.5">
      <c r="A224" s="19"/>
      <c r="B224" s="19"/>
      <c r="C224" s="20" t="s">
        <v>120</v>
      </c>
      <c r="D224" s="26" t="s">
        <v>121</v>
      </c>
      <c r="E224" s="44">
        <f t="shared" si="18"/>
        <v>0</v>
      </c>
      <c r="F224" s="44">
        <f t="shared" si="18"/>
        <v>0</v>
      </c>
      <c r="G224" s="44">
        <f t="shared" si="18"/>
        <v>0</v>
      </c>
      <c r="H224" s="44">
        <f t="shared" si="18"/>
        <v>0</v>
      </c>
      <c r="I224" s="17">
        <f>H224-G224</f>
        <v>0</v>
      </c>
      <c r="J224" s="22"/>
      <c r="K224" s="24">
        <f t="shared" si="21"/>
        <v>0</v>
      </c>
      <c r="L224" s="24"/>
      <c r="M224" s="44">
        <f t="shared" si="19"/>
        <v>0</v>
      </c>
      <c r="N224" s="44">
        <f t="shared" si="19"/>
        <v>0</v>
      </c>
      <c r="O224" s="44">
        <f t="shared" si="19"/>
        <v>0</v>
      </c>
    </row>
    <row r="225" spans="1:15" ht="15.75">
      <c r="A225" s="19"/>
      <c r="B225" s="19"/>
      <c r="C225" s="20" t="s">
        <v>38</v>
      </c>
      <c r="D225" s="26" t="s">
        <v>39</v>
      </c>
      <c r="E225" s="44">
        <f t="shared" si="18"/>
        <v>124768.5</v>
      </c>
      <c r="F225" s="44">
        <f t="shared" si="18"/>
        <v>125416.6</v>
      </c>
      <c r="G225" s="44">
        <f t="shared" si="18"/>
        <v>87393.5</v>
      </c>
      <c r="H225" s="44">
        <f t="shared" si="18"/>
        <v>170470.12000000002</v>
      </c>
      <c r="I225" s="17">
        <f t="shared" si="16"/>
        <v>83076.62000000002</v>
      </c>
      <c r="J225" s="22">
        <f>H225/G225*100</f>
        <v>195.0604106712742</v>
      </c>
      <c r="K225" s="24">
        <f t="shared" si="21"/>
        <v>45053.52000000002</v>
      </c>
      <c r="L225" s="24">
        <f t="shared" si="20"/>
        <v>135.92309152058021</v>
      </c>
      <c r="M225" s="44">
        <f t="shared" si="19"/>
        <v>148371.5</v>
      </c>
      <c r="N225" s="44">
        <f t="shared" si="19"/>
        <v>157382.8</v>
      </c>
      <c r="O225" s="44">
        <f t="shared" si="19"/>
        <v>166382.8</v>
      </c>
    </row>
    <row r="226" spans="1:15" ht="15.75">
      <c r="A226" s="19"/>
      <c r="B226" s="19"/>
      <c r="C226" s="20" t="s">
        <v>40</v>
      </c>
      <c r="D226" s="26" t="s">
        <v>41</v>
      </c>
      <c r="E226" s="44">
        <f t="shared" si="18"/>
        <v>-2865.7999999999997</v>
      </c>
      <c r="F226" s="44">
        <f t="shared" si="18"/>
        <v>0</v>
      </c>
      <c r="G226" s="44">
        <f t="shared" si="18"/>
        <v>0</v>
      </c>
      <c r="H226" s="44">
        <f t="shared" si="18"/>
        <v>-2740.299999999999</v>
      </c>
      <c r="I226" s="17">
        <f t="shared" si="16"/>
        <v>-2740.299999999999</v>
      </c>
      <c r="J226" s="22"/>
      <c r="K226" s="24">
        <f t="shared" si="21"/>
        <v>-2740.299999999999</v>
      </c>
      <c r="L226" s="24"/>
      <c r="M226" s="44">
        <f t="shared" si="19"/>
        <v>0</v>
      </c>
      <c r="N226" s="44">
        <f t="shared" si="19"/>
        <v>0</v>
      </c>
      <c r="O226" s="44">
        <f t="shared" si="19"/>
        <v>0</v>
      </c>
    </row>
    <row r="227" spans="1:15" ht="15.75">
      <c r="A227" s="19"/>
      <c r="B227" s="19"/>
      <c r="C227" s="20" t="s">
        <v>42</v>
      </c>
      <c r="D227" s="26" t="s">
        <v>149</v>
      </c>
      <c r="E227" s="44">
        <f t="shared" si="18"/>
        <v>9193.699999999999</v>
      </c>
      <c r="F227" s="44">
        <f t="shared" si="18"/>
        <v>0</v>
      </c>
      <c r="G227" s="44">
        <f t="shared" si="18"/>
        <v>0</v>
      </c>
      <c r="H227" s="44">
        <f t="shared" si="18"/>
        <v>40144.700000000004</v>
      </c>
      <c r="I227" s="17">
        <f t="shared" si="16"/>
        <v>40144.700000000004</v>
      </c>
      <c r="J227" s="22"/>
      <c r="K227" s="24">
        <f t="shared" si="21"/>
        <v>40144.700000000004</v>
      </c>
      <c r="L227" s="24"/>
      <c r="M227" s="44">
        <f t="shared" si="19"/>
        <v>0</v>
      </c>
      <c r="N227" s="44">
        <f t="shared" si="19"/>
        <v>38488.700000000004</v>
      </c>
      <c r="O227" s="44">
        <f t="shared" si="19"/>
        <v>39450.3</v>
      </c>
    </row>
    <row r="228" spans="1:15" ht="31.5" customHeight="1">
      <c r="A228" s="19"/>
      <c r="B228" s="19"/>
      <c r="C228" s="20" t="s">
        <v>85</v>
      </c>
      <c r="D228" s="26" t="s">
        <v>86</v>
      </c>
      <c r="E228" s="44">
        <f t="shared" si="18"/>
        <v>89.3</v>
      </c>
      <c r="F228" s="44">
        <f t="shared" si="18"/>
        <v>0</v>
      </c>
      <c r="G228" s="44">
        <f t="shared" si="18"/>
        <v>0</v>
      </c>
      <c r="H228" s="44">
        <f t="shared" si="18"/>
        <v>-38.1</v>
      </c>
      <c r="I228" s="17">
        <f t="shared" si="16"/>
        <v>-38.1</v>
      </c>
      <c r="J228" s="22"/>
      <c r="K228" s="24">
        <f t="shared" si="21"/>
        <v>-38.1</v>
      </c>
      <c r="L228" s="24"/>
      <c r="M228" s="44">
        <f t="shared" si="19"/>
        <v>0</v>
      </c>
      <c r="N228" s="44">
        <f t="shared" si="19"/>
        <v>-38.1</v>
      </c>
      <c r="O228" s="44">
        <f t="shared" si="19"/>
        <v>-38.1</v>
      </c>
    </row>
    <row r="229" spans="1:15" ht="15.75">
      <c r="A229" s="19"/>
      <c r="B229" s="19"/>
      <c r="C229" s="20" t="s">
        <v>87</v>
      </c>
      <c r="D229" s="26" t="s">
        <v>88</v>
      </c>
      <c r="E229" s="44">
        <f t="shared" si="18"/>
        <v>-891.2</v>
      </c>
      <c r="F229" s="44">
        <f t="shared" si="18"/>
        <v>-6937.5</v>
      </c>
      <c r="G229" s="44">
        <f t="shared" si="18"/>
        <v>-6937.5</v>
      </c>
      <c r="H229" s="44">
        <f t="shared" si="18"/>
        <v>-5241.49951</v>
      </c>
      <c r="I229" s="17">
        <f t="shared" si="16"/>
        <v>1696.0004900000004</v>
      </c>
      <c r="J229" s="22">
        <f aca="true" t="shared" si="22" ref="J229:J235">H229/G229*100</f>
        <v>75.55314609009008</v>
      </c>
      <c r="K229" s="24">
        <f t="shared" si="21"/>
        <v>1696.0004900000004</v>
      </c>
      <c r="L229" s="24">
        <f t="shared" si="20"/>
        <v>75.55314609009008</v>
      </c>
      <c r="M229" s="44">
        <f t="shared" si="19"/>
        <v>0</v>
      </c>
      <c r="N229" s="44">
        <f t="shared" si="19"/>
        <v>-6937.5</v>
      </c>
      <c r="O229" s="44">
        <f t="shared" si="19"/>
        <v>-6937.5</v>
      </c>
    </row>
    <row r="230" spans="1:15" s="39" customFormat="1" ht="15.75">
      <c r="A230" s="19"/>
      <c r="B230" s="19"/>
      <c r="C230" s="45" t="s">
        <v>166</v>
      </c>
      <c r="D230" s="71" t="s">
        <v>167</v>
      </c>
      <c r="E230" s="58">
        <f>SUM(E231:E236)</f>
        <v>3519890.1999999997</v>
      </c>
      <c r="F230" s="58">
        <f>SUM(F231:F236)</f>
        <v>7946352.500000001</v>
      </c>
      <c r="G230" s="58">
        <f>SUM(G231:G236)</f>
        <v>4082191.51</v>
      </c>
      <c r="H230" s="58">
        <f>SUM(H231:H236)</f>
        <v>5309139.099999999</v>
      </c>
      <c r="I230" s="34">
        <f t="shared" si="16"/>
        <v>1226947.589999999</v>
      </c>
      <c r="J230" s="35">
        <f t="shared" si="22"/>
        <v>130.05610067519834</v>
      </c>
      <c r="K230" s="37">
        <f t="shared" si="21"/>
        <v>-2637213.4000000022</v>
      </c>
      <c r="L230" s="37">
        <f t="shared" si="20"/>
        <v>66.81227770854613</v>
      </c>
      <c r="M230" s="58">
        <f>SUM(M231:M236)</f>
        <v>0</v>
      </c>
      <c r="N230" s="58">
        <f>SUM(N231:N236)</f>
        <v>5624418.8</v>
      </c>
      <c r="O230" s="58">
        <f>SUM(O231:O236)</f>
        <v>5624418.699999999</v>
      </c>
    </row>
    <row r="231" spans="1:15" ht="31.5">
      <c r="A231" s="19"/>
      <c r="B231" s="19"/>
      <c r="C231" s="20" t="s">
        <v>89</v>
      </c>
      <c r="D231" s="26" t="s">
        <v>90</v>
      </c>
      <c r="E231" s="44">
        <f aca="true" t="shared" si="23" ref="E231:H237">SUMIF($C$7:$C$182,$C231,E$7:E$182)</f>
        <v>79521.3</v>
      </c>
      <c r="F231" s="44">
        <f t="shared" si="23"/>
        <v>192500.4</v>
      </c>
      <c r="G231" s="44">
        <f t="shared" si="23"/>
        <v>105406.7</v>
      </c>
      <c r="H231" s="44">
        <f t="shared" si="23"/>
        <v>192500.4</v>
      </c>
      <c r="I231" s="17">
        <f t="shared" si="16"/>
        <v>87093.7</v>
      </c>
      <c r="J231" s="22">
        <f t="shared" si="22"/>
        <v>182.62634158929177</v>
      </c>
      <c r="K231" s="24">
        <f t="shared" si="21"/>
        <v>0</v>
      </c>
      <c r="L231" s="24">
        <f t="shared" si="20"/>
        <v>100</v>
      </c>
      <c r="M231" s="44">
        <f aca="true" t="shared" si="24" ref="M231:O237">SUMIF($C$7:$C$182,$C231,M$7:M$182)</f>
        <v>0</v>
      </c>
      <c r="N231" s="44">
        <f t="shared" si="24"/>
        <v>192500.4</v>
      </c>
      <c r="O231" s="44">
        <f t="shared" si="24"/>
        <v>192500.4</v>
      </c>
    </row>
    <row r="232" spans="1:15" ht="15.75">
      <c r="A232" s="19"/>
      <c r="B232" s="19"/>
      <c r="C232" s="20" t="s">
        <v>91</v>
      </c>
      <c r="D232" s="26" t="s">
        <v>168</v>
      </c>
      <c r="E232" s="44">
        <f t="shared" si="23"/>
        <v>717763.6</v>
      </c>
      <c r="F232" s="44">
        <f t="shared" si="23"/>
        <v>5091688.9</v>
      </c>
      <c r="G232" s="44">
        <f t="shared" si="23"/>
        <v>2086302.7099999997</v>
      </c>
      <c r="H232" s="44">
        <f t="shared" si="23"/>
        <v>2539222.5</v>
      </c>
      <c r="I232" s="17">
        <f t="shared" si="16"/>
        <v>452919.79000000027</v>
      </c>
      <c r="J232" s="22">
        <f t="shared" si="22"/>
        <v>121.70920776879979</v>
      </c>
      <c r="K232" s="24">
        <f t="shared" si="21"/>
        <v>-2552466.4000000004</v>
      </c>
      <c r="L232" s="24">
        <f t="shared" si="20"/>
        <v>49.86994590341134</v>
      </c>
      <c r="M232" s="44">
        <f t="shared" si="24"/>
        <v>0</v>
      </c>
      <c r="N232" s="44">
        <f t="shared" si="24"/>
        <v>2964584.5</v>
      </c>
      <c r="O232" s="44">
        <f t="shared" si="24"/>
        <v>2922445.9</v>
      </c>
    </row>
    <row r="233" spans="1:15" ht="15.75">
      <c r="A233" s="19"/>
      <c r="B233" s="19"/>
      <c r="C233" s="20" t="s">
        <v>93</v>
      </c>
      <c r="D233" s="26" t="s">
        <v>109</v>
      </c>
      <c r="E233" s="44">
        <f t="shared" si="23"/>
        <v>2674381.4</v>
      </c>
      <c r="F233" s="44">
        <f t="shared" si="23"/>
        <v>2225225.9</v>
      </c>
      <c r="G233" s="44">
        <f t="shared" si="23"/>
        <v>1552706.8999999997</v>
      </c>
      <c r="H233" s="44">
        <f t="shared" si="23"/>
        <v>2157521.3</v>
      </c>
      <c r="I233" s="17">
        <f t="shared" si="16"/>
        <v>604814.4000000001</v>
      </c>
      <c r="J233" s="22">
        <f t="shared" si="22"/>
        <v>138.95225814994447</v>
      </c>
      <c r="K233" s="24">
        <f t="shared" si="21"/>
        <v>-67704.6000000001</v>
      </c>
      <c r="L233" s="24">
        <f t="shared" si="20"/>
        <v>96.95740553801751</v>
      </c>
      <c r="M233" s="44">
        <f t="shared" si="24"/>
        <v>0</v>
      </c>
      <c r="N233" s="44">
        <f t="shared" si="24"/>
        <v>2082877.1999999997</v>
      </c>
      <c r="O233" s="44">
        <f t="shared" si="24"/>
        <v>2099401.0999999996</v>
      </c>
    </row>
    <row r="234" spans="1:15" ht="15.75">
      <c r="A234" s="19"/>
      <c r="B234" s="19"/>
      <c r="C234" s="20" t="s">
        <v>67</v>
      </c>
      <c r="D234" s="28" t="s">
        <v>68</v>
      </c>
      <c r="E234" s="44">
        <f t="shared" si="23"/>
        <v>3640</v>
      </c>
      <c r="F234" s="44">
        <f t="shared" si="23"/>
        <v>436937.3</v>
      </c>
      <c r="G234" s="44">
        <f t="shared" si="23"/>
        <v>337775.19999999995</v>
      </c>
      <c r="H234" s="44">
        <f t="shared" si="23"/>
        <v>423244.1</v>
      </c>
      <c r="I234" s="17">
        <f t="shared" si="16"/>
        <v>85468.90000000002</v>
      </c>
      <c r="J234" s="22">
        <f t="shared" si="22"/>
        <v>125.30348586870797</v>
      </c>
      <c r="K234" s="24">
        <f t="shared" si="21"/>
        <v>-13693.200000000012</v>
      </c>
      <c r="L234" s="24">
        <f t="shared" si="20"/>
        <v>96.86609497518293</v>
      </c>
      <c r="M234" s="44">
        <f t="shared" si="24"/>
        <v>0</v>
      </c>
      <c r="N234" s="44">
        <f t="shared" si="24"/>
        <v>387805.89999999997</v>
      </c>
      <c r="O234" s="44">
        <f t="shared" si="24"/>
        <v>413420.5</v>
      </c>
    </row>
    <row r="235" spans="1:15" ht="15.75" customHeight="1" hidden="1">
      <c r="A235" s="19"/>
      <c r="B235" s="19"/>
      <c r="C235" s="20" t="s">
        <v>169</v>
      </c>
      <c r="D235" s="21" t="s">
        <v>170</v>
      </c>
      <c r="E235" s="44">
        <f t="shared" si="23"/>
        <v>0</v>
      </c>
      <c r="F235" s="44">
        <f t="shared" si="23"/>
        <v>0</v>
      </c>
      <c r="G235" s="44">
        <f t="shared" si="23"/>
        <v>0</v>
      </c>
      <c r="H235" s="44">
        <f t="shared" si="23"/>
        <v>0</v>
      </c>
      <c r="I235" s="17">
        <f t="shared" si="16"/>
        <v>0</v>
      </c>
      <c r="J235" s="22" t="e">
        <f t="shared" si="22"/>
        <v>#DIV/0!</v>
      </c>
      <c r="K235" s="24">
        <f t="shared" si="21"/>
        <v>0</v>
      </c>
      <c r="L235" s="24" t="e">
        <f t="shared" si="20"/>
        <v>#DIV/0!</v>
      </c>
      <c r="M235" s="44">
        <f t="shared" si="24"/>
        <v>0</v>
      </c>
      <c r="N235" s="44">
        <f t="shared" si="24"/>
        <v>0</v>
      </c>
      <c r="O235" s="44">
        <f t="shared" si="24"/>
        <v>0</v>
      </c>
    </row>
    <row r="236" spans="1:15" ht="15.75">
      <c r="A236" s="19"/>
      <c r="B236" s="19"/>
      <c r="C236" s="20" t="s">
        <v>101</v>
      </c>
      <c r="D236" s="26" t="s">
        <v>102</v>
      </c>
      <c r="E236" s="44">
        <f t="shared" si="23"/>
        <v>44583.9</v>
      </c>
      <c r="F236" s="44">
        <f t="shared" si="23"/>
        <v>0</v>
      </c>
      <c r="G236" s="44">
        <f t="shared" si="23"/>
        <v>0</v>
      </c>
      <c r="H236" s="44">
        <f t="shared" si="23"/>
        <v>-3349.2</v>
      </c>
      <c r="I236" s="17">
        <f t="shared" si="16"/>
        <v>-3349.2</v>
      </c>
      <c r="J236" s="22"/>
      <c r="K236" s="24">
        <f t="shared" si="21"/>
        <v>-3349.2</v>
      </c>
      <c r="L236" s="24"/>
      <c r="M236" s="44">
        <f t="shared" si="24"/>
        <v>0</v>
      </c>
      <c r="N236" s="44">
        <f t="shared" si="24"/>
        <v>-3349.2</v>
      </c>
      <c r="O236" s="44">
        <f t="shared" si="24"/>
        <v>-3349.2</v>
      </c>
    </row>
    <row r="237" spans="1:15" s="39" customFormat="1" ht="31.5">
      <c r="A237" s="19"/>
      <c r="B237" s="19"/>
      <c r="C237" s="45" t="s">
        <v>44</v>
      </c>
      <c r="D237" s="71" t="s">
        <v>171</v>
      </c>
      <c r="E237" s="58">
        <f t="shared" si="23"/>
        <v>1041523.1</v>
      </c>
      <c r="F237" s="58">
        <f t="shared" si="23"/>
        <v>1162182.9999999998</v>
      </c>
      <c r="G237" s="58">
        <f t="shared" si="23"/>
        <v>785698.6000000001</v>
      </c>
      <c r="H237" s="58">
        <f t="shared" si="23"/>
        <v>1202977.4000000004</v>
      </c>
      <c r="I237" s="34">
        <f t="shared" si="16"/>
        <v>417278.8000000003</v>
      </c>
      <c r="J237" s="35">
        <f>H237/G237*100</f>
        <v>153.10927116326798</v>
      </c>
      <c r="K237" s="37">
        <f t="shared" si="21"/>
        <v>40794.400000000605</v>
      </c>
      <c r="L237" s="37">
        <f t="shared" si="20"/>
        <v>103.51015287609616</v>
      </c>
      <c r="M237" s="58">
        <f t="shared" si="24"/>
        <v>0</v>
      </c>
      <c r="N237" s="58">
        <f t="shared" si="24"/>
        <v>1090270.6</v>
      </c>
      <c r="O237" s="58">
        <f t="shared" si="24"/>
        <v>1120644.5000000002</v>
      </c>
    </row>
    <row r="238" spans="1:15" s="39" customFormat="1" ht="15.75">
      <c r="A238" s="19"/>
      <c r="B238" s="19"/>
      <c r="C238" s="56"/>
      <c r="D238" s="63" t="s">
        <v>152</v>
      </c>
      <c r="E238" s="58">
        <f>SUM(E193,E206,E230,E237)</f>
        <v>15160575.299999999</v>
      </c>
      <c r="F238" s="58">
        <f>SUM(F193,F206,F230,F237)</f>
        <v>22094198.4</v>
      </c>
      <c r="G238" s="58">
        <f>SUM(G193,G206,G230,G237)</f>
        <v>14286164.61</v>
      </c>
      <c r="H238" s="58">
        <f>SUM(H193,H206,H230,H237)</f>
        <v>18975856.12049</v>
      </c>
      <c r="I238" s="34">
        <f t="shared" si="16"/>
        <v>4689691.51049</v>
      </c>
      <c r="J238" s="35">
        <f>H238/G238*100</f>
        <v>132.8268057838793</v>
      </c>
      <c r="K238" s="37">
        <f t="shared" si="21"/>
        <v>-3118342.279509999</v>
      </c>
      <c r="L238" s="37">
        <f t="shared" si="20"/>
        <v>85.88614882941398</v>
      </c>
      <c r="M238" s="58">
        <f>SUM(M193,M206,M230,M237)</f>
        <v>9309678.600000001</v>
      </c>
      <c r="N238" s="58">
        <f>SUM(N193,N206,N230,N237)</f>
        <v>18503371.200000003</v>
      </c>
      <c r="O238" s="58">
        <f>SUM(O193,O206,O230,O237)</f>
        <v>18892694.799999997</v>
      </c>
    </row>
    <row r="239" spans="1:15" s="39" customFormat="1" ht="31.5">
      <c r="A239" s="40"/>
      <c r="B239" s="41"/>
      <c r="C239" s="45"/>
      <c r="D239" s="71" t="s">
        <v>153</v>
      </c>
      <c r="E239" s="70">
        <f>E240</f>
        <v>397370</v>
      </c>
      <c r="F239" s="70">
        <f>F240</f>
        <v>29220.9</v>
      </c>
      <c r="G239" s="70">
        <f>G240</f>
        <v>27622</v>
      </c>
      <c r="H239" s="70">
        <f>H240</f>
        <v>27622</v>
      </c>
      <c r="I239" s="34">
        <f t="shared" si="16"/>
        <v>0</v>
      </c>
      <c r="J239" s="35">
        <f>H239/G239*100</f>
        <v>100</v>
      </c>
      <c r="K239" s="37">
        <f t="shared" si="21"/>
        <v>-1598.9000000000015</v>
      </c>
      <c r="L239" s="37">
        <f t="shared" si="20"/>
        <v>94.52823150553199</v>
      </c>
      <c r="M239" s="70">
        <f>M240</f>
        <v>0</v>
      </c>
      <c r="N239" s="70">
        <f>N240</f>
        <v>29220.9</v>
      </c>
      <c r="O239" s="70">
        <f>O240</f>
        <v>27622</v>
      </c>
    </row>
    <row r="240" spans="1:15" ht="31.5">
      <c r="A240" s="40"/>
      <c r="B240" s="41"/>
      <c r="C240" s="27" t="s">
        <v>154</v>
      </c>
      <c r="D240" s="28" t="s">
        <v>155</v>
      </c>
      <c r="E240" s="42">
        <f>E188</f>
        <v>397370</v>
      </c>
      <c r="F240" s="42">
        <f>F188</f>
        <v>29220.9</v>
      </c>
      <c r="G240" s="42">
        <f>G188</f>
        <v>27622</v>
      </c>
      <c r="H240" s="44">
        <f>SUMIF($C$7:$C$188,$C240,H$7:H$188)</f>
        <v>27622</v>
      </c>
      <c r="I240" s="17">
        <f t="shared" si="16"/>
        <v>0</v>
      </c>
      <c r="J240" s="22">
        <f>H240/G240*100</f>
        <v>100</v>
      </c>
      <c r="K240" s="24">
        <f t="shared" si="21"/>
        <v>-1598.9000000000015</v>
      </c>
      <c r="L240" s="24">
        <f t="shared" si="20"/>
        <v>94.52823150553199</v>
      </c>
      <c r="M240" s="42">
        <f>M188</f>
        <v>0</v>
      </c>
      <c r="N240" s="42">
        <f>N188</f>
        <v>29220.9</v>
      </c>
      <c r="O240" s="42">
        <v>27622</v>
      </c>
    </row>
    <row r="241" spans="1:13" ht="15.75">
      <c r="A241" s="65"/>
      <c r="B241" s="65"/>
      <c r="C241" s="66"/>
      <c r="D241" s="67"/>
      <c r="E241" s="76"/>
      <c r="F241" s="76"/>
      <c r="G241" s="76"/>
      <c r="H241" s="77"/>
      <c r="I241" s="76"/>
      <c r="J241" s="77"/>
      <c r="K241" s="78"/>
      <c r="L241" s="7"/>
      <c r="M241" s="7"/>
    </row>
    <row r="242" spans="1:13" ht="15.75">
      <c r="A242" s="65"/>
      <c r="B242" s="65"/>
      <c r="C242" s="66"/>
      <c r="D242" s="67"/>
      <c r="E242" s="76"/>
      <c r="F242" s="76"/>
      <c r="G242" s="76"/>
      <c r="H242" s="77"/>
      <c r="I242" s="76"/>
      <c r="J242" s="77"/>
      <c r="K242" s="78"/>
      <c r="L242" s="7"/>
      <c r="M242" s="7"/>
    </row>
    <row r="243" spans="1:13" ht="15.75">
      <c r="A243" s="65"/>
      <c r="B243" s="65"/>
      <c r="C243" s="66"/>
      <c r="D243" s="67"/>
      <c r="E243" s="76"/>
      <c r="F243" s="76"/>
      <c r="G243" s="76"/>
      <c r="H243" s="77"/>
      <c r="I243" s="77"/>
      <c r="J243" s="77"/>
      <c r="K243" s="78"/>
      <c r="L243" s="7"/>
      <c r="M243" s="7"/>
    </row>
    <row r="244" spans="1:13" ht="15.75">
      <c r="A244" s="65"/>
      <c r="B244" s="65"/>
      <c r="C244" s="66"/>
      <c r="D244" s="67"/>
      <c r="E244" s="76"/>
      <c r="F244" s="76"/>
      <c r="G244" s="76"/>
      <c r="H244" s="77"/>
      <c r="I244" s="77"/>
      <c r="J244" s="77"/>
      <c r="K244" s="78"/>
      <c r="L244" s="7"/>
      <c r="M244" s="7"/>
    </row>
    <row r="245" spans="1:11" ht="15.75">
      <c r="A245" s="79"/>
      <c r="B245" s="80"/>
      <c r="C245" s="81"/>
      <c r="D245" s="82"/>
      <c r="E245" s="83"/>
      <c r="F245" s="83"/>
      <c r="G245" s="82"/>
      <c r="H245" s="82"/>
      <c r="I245" s="84"/>
      <c r="J245" s="84"/>
      <c r="K245" s="74"/>
    </row>
    <row r="246" spans="1:11" ht="15.75">
      <c r="A246" s="79"/>
      <c r="B246" s="80"/>
      <c r="C246" s="81"/>
      <c r="D246" s="82"/>
      <c r="E246" s="83"/>
      <c r="F246" s="83"/>
      <c r="G246" s="82"/>
      <c r="H246" s="82"/>
      <c r="I246" s="84"/>
      <c r="J246" s="84"/>
      <c r="K246" s="74"/>
    </row>
    <row r="247" spans="1:11" ht="15.75">
      <c r="A247" s="79"/>
      <c r="B247" s="80"/>
      <c r="C247" s="81"/>
      <c r="D247" s="82"/>
      <c r="E247" s="83"/>
      <c r="F247" s="83"/>
      <c r="G247" s="82"/>
      <c r="H247" s="82"/>
      <c r="I247" s="84"/>
      <c r="J247" s="84"/>
      <c r="K247" s="74"/>
    </row>
    <row r="248" spans="1:11" ht="15.75">
      <c r="A248" s="79"/>
      <c r="B248" s="80"/>
      <c r="C248" s="81"/>
      <c r="D248" s="82"/>
      <c r="E248" s="83"/>
      <c r="F248" s="83"/>
      <c r="G248" s="82"/>
      <c r="H248" s="82"/>
      <c r="I248" s="84"/>
      <c r="J248" s="84"/>
      <c r="K248" s="74"/>
    </row>
    <row r="249" spans="1:11" ht="15.75">
      <c r="A249" s="79"/>
      <c r="B249" s="80"/>
      <c r="C249" s="81"/>
      <c r="D249" s="82"/>
      <c r="E249" s="83"/>
      <c r="F249" s="83"/>
      <c r="G249" s="82"/>
      <c r="H249" s="82"/>
      <c r="I249" s="84"/>
      <c r="J249" s="84"/>
      <c r="K249" s="74"/>
    </row>
    <row r="250" spans="1:10" ht="15.75">
      <c r="A250" s="85"/>
      <c r="B250" s="80"/>
      <c r="C250" s="81"/>
      <c r="D250" s="82"/>
      <c r="E250" s="83"/>
      <c r="F250" s="83"/>
      <c r="G250" s="82"/>
      <c r="H250" s="82"/>
      <c r="I250" s="84"/>
      <c r="J250" s="84"/>
    </row>
    <row r="251" spans="1:10" ht="15.75">
      <c r="A251" s="85"/>
      <c r="B251" s="80"/>
      <c r="C251" s="81"/>
      <c r="D251" s="82"/>
      <c r="E251" s="83"/>
      <c r="F251" s="83"/>
      <c r="G251" s="82"/>
      <c r="H251" s="82"/>
      <c r="I251" s="84"/>
      <c r="J251" s="84"/>
    </row>
    <row r="252" spans="1:10" ht="15.75">
      <c r="A252" s="85"/>
      <c r="B252" s="80"/>
      <c r="C252" s="81"/>
      <c r="D252" s="82"/>
      <c r="E252" s="83"/>
      <c r="F252" s="83"/>
      <c r="G252" s="82"/>
      <c r="H252" s="82"/>
      <c r="I252" s="84"/>
      <c r="J252" s="84"/>
    </row>
    <row r="253" spans="1:10" ht="15.75">
      <c r="A253" s="85"/>
      <c r="B253" s="80"/>
      <c r="C253" s="81"/>
      <c r="D253" s="82"/>
      <c r="E253" s="83"/>
      <c r="F253" s="83"/>
      <c r="G253" s="82"/>
      <c r="H253" s="82"/>
      <c r="I253" s="84"/>
      <c r="J253" s="84"/>
    </row>
    <row r="254" spans="1:10" ht="15.75">
      <c r="A254" s="85"/>
      <c r="B254" s="80"/>
      <c r="C254" s="81"/>
      <c r="D254" s="82"/>
      <c r="E254" s="83"/>
      <c r="F254" s="83"/>
      <c r="G254" s="82"/>
      <c r="H254" s="82"/>
      <c r="I254" s="84"/>
      <c r="J254" s="84"/>
    </row>
    <row r="255" spans="1:10" ht="15.75">
      <c r="A255" s="85"/>
      <c r="B255" s="80"/>
      <c r="C255" s="81"/>
      <c r="D255" s="82"/>
      <c r="E255" s="83"/>
      <c r="F255" s="83"/>
      <c r="G255" s="82"/>
      <c r="H255" s="82"/>
      <c r="I255" s="84"/>
      <c r="J255" s="84"/>
    </row>
    <row r="256" spans="1:10" ht="15.75">
      <c r="A256" s="85"/>
      <c r="B256" s="80"/>
      <c r="C256" s="81"/>
      <c r="D256" s="82"/>
      <c r="E256" s="83"/>
      <c r="F256" s="83"/>
      <c r="G256" s="82"/>
      <c r="H256" s="82"/>
      <c r="I256" s="84"/>
      <c r="J256" s="84"/>
    </row>
    <row r="257" spans="1:10" ht="15.75">
      <c r="A257" s="85"/>
      <c r="B257" s="80"/>
      <c r="C257" s="81"/>
      <c r="D257" s="82"/>
      <c r="E257" s="83"/>
      <c r="F257" s="83"/>
      <c r="G257" s="82"/>
      <c r="H257" s="82"/>
      <c r="I257" s="84"/>
      <c r="J257" s="84"/>
    </row>
    <row r="258" spans="1:10" ht="15.75">
      <c r="A258" s="85"/>
      <c r="B258" s="80"/>
      <c r="C258" s="81"/>
      <c r="D258" s="82"/>
      <c r="E258" s="83"/>
      <c r="F258" s="83"/>
      <c r="G258" s="82"/>
      <c r="H258" s="82"/>
      <c r="I258" s="84"/>
      <c r="J258" s="84"/>
    </row>
    <row r="259" spans="1:10" ht="15.75">
      <c r="A259" s="85"/>
      <c r="B259" s="80"/>
      <c r="C259" s="81"/>
      <c r="D259" s="82"/>
      <c r="E259" s="83"/>
      <c r="F259" s="83"/>
      <c r="G259" s="82"/>
      <c r="H259" s="82"/>
      <c r="I259" s="84"/>
      <c r="J259" s="84"/>
    </row>
    <row r="260" spans="1:10" ht="15.75">
      <c r="A260" s="85"/>
      <c r="B260" s="80"/>
      <c r="C260" s="81"/>
      <c r="D260" s="82"/>
      <c r="E260" s="83"/>
      <c r="F260" s="83"/>
      <c r="G260" s="82"/>
      <c r="H260" s="82"/>
      <c r="I260" s="84"/>
      <c r="J260" s="84"/>
    </row>
    <row r="261" spans="1:10" ht="15.75">
      <c r="A261" s="85"/>
      <c r="B261" s="80"/>
      <c r="C261" s="81"/>
      <c r="D261" s="83"/>
      <c r="E261" s="83"/>
      <c r="F261" s="83"/>
      <c r="G261" s="82"/>
      <c r="H261" s="82"/>
      <c r="I261" s="84"/>
      <c r="J261" s="84"/>
    </row>
    <row r="262" spans="1:10" ht="15.75">
      <c r="A262" s="85"/>
      <c r="B262" s="80"/>
      <c r="C262" s="81"/>
      <c r="D262" s="83"/>
      <c r="E262" s="83"/>
      <c r="F262" s="83"/>
      <c r="G262" s="82"/>
      <c r="H262" s="82"/>
      <c r="I262" s="84"/>
      <c r="J262" s="84"/>
    </row>
    <row r="263" spans="1:10" ht="15.75">
      <c r="A263" s="85"/>
      <c r="B263" s="80"/>
      <c r="C263" s="81"/>
      <c r="D263" s="83"/>
      <c r="E263" s="83"/>
      <c r="F263" s="83"/>
      <c r="G263" s="82"/>
      <c r="H263" s="82"/>
      <c r="I263" s="84"/>
      <c r="J263" s="84"/>
    </row>
    <row r="264" spans="1:10" ht="15.75">
      <c r="A264" s="85"/>
      <c r="B264" s="80"/>
      <c r="C264" s="81"/>
      <c r="D264" s="83"/>
      <c r="E264" s="83"/>
      <c r="F264" s="83"/>
      <c r="G264" s="82"/>
      <c r="H264" s="82"/>
      <c r="I264" s="84"/>
      <c r="J264" s="84"/>
    </row>
    <row r="265" spans="1:10" ht="15.75">
      <c r="A265" s="85"/>
      <c r="B265" s="80"/>
      <c r="C265" s="81"/>
      <c r="D265" s="83"/>
      <c r="E265" s="83"/>
      <c r="F265" s="83"/>
      <c r="G265" s="82"/>
      <c r="H265" s="82"/>
      <c r="I265" s="84"/>
      <c r="J265" s="84"/>
    </row>
    <row r="266" spans="1:10" ht="15.75">
      <c r="A266" s="85"/>
      <c r="B266" s="80"/>
      <c r="C266" s="81"/>
      <c r="D266" s="83"/>
      <c r="E266" s="83"/>
      <c r="F266" s="83"/>
      <c r="G266" s="82"/>
      <c r="H266" s="82"/>
      <c r="I266" s="84"/>
      <c r="J266" s="84"/>
    </row>
    <row r="267" spans="1:10" ht="15.75">
      <c r="A267" s="85"/>
      <c r="B267" s="80"/>
      <c r="C267" s="81"/>
      <c r="D267" s="83"/>
      <c r="E267" s="83"/>
      <c r="F267" s="83"/>
      <c r="G267" s="82"/>
      <c r="H267" s="82"/>
      <c r="I267" s="84"/>
      <c r="J267" s="84"/>
    </row>
    <row r="268" spans="1:10" ht="15.75">
      <c r="A268" s="85"/>
      <c r="B268" s="80"/>
      <c r="C268" s="81"/>
      <c r="D268" s="83"/>
      <c r="E268" s="83"/>
      <c r="F268" s="83"/>
      <c r="G268" s="82"/>
      <c r="H268" s="82"/>
      <c r="I268" s="84"/>
      <c r="J268" s="84"/>
    </row>
    <row r="269" spans="1:10" ht="15.75">
      <c r="A269" s="85"/>
      <c r="B269" s="80"/>
      <c r="C269" s="81"/>
      <c r="D269" s="83"/>
      <c r="E269" s="83"/>
      <c r="F269" s="83"/>
      <c r="G269" s="82"/>
      <c r="H269" s="82"/>
      <c r="I269" s="84"/>
      <c r="J269" s="84"/>
    </row>
    <row r="270" spans="1:10" ht="15.75">
      <c r="A270" s="85"/>
      <c r="B270" s="80"/>
      <c r="C270" s="81"/>
      <c r="D270" s="83"/>
      <c r="E270" s="83"/>
      <c r="F270" s="83"/>
      <c r="G270" s="82"/>
      <c r="H270" s="82"/>
      <c r="I270" s="84"/>
      <c r="J270" s="84"/>
    </row>
    <row r="271" spans="1:10" ht="15.75">
      <c r="A271" s="85"/>
      <c r="B271" s="80"/>
      <c r="C271" s="81"/>
      <c r="D271" s="83"/>
      <c r="E271" s="83"/>
      <c r="F271" s="83"/>
      <c r="G271" s="82"/>
      <c r="H271" s="82"/>
      <c r="I271" s="84"/>
      <c r="J271" s="84"/>
    </row>
    <row r="272" spans="1:10" ht="15.75">
      <c r="A272" s="85"/>
      <c r="B272" s="80"/>
      <c r="C272" s="81"/>
      <c r="D272" s="83"/>
      <c r="E272" s="83"/>
      <c r="F272" s="83"/>
      <c r="G272" s="82"/>
      <c r="H272" s="82"/>
      <c r="I272" s="84"/>
      <c r="J272" s="84"/>
    </row>
    <row r="273" spans="1:10" ht="15.75">
      <c r="A273" s="85"/>
      <c r="B273" s="80"/>
      <c r="C273" s="81"/>
      <c r="D273" s="83"/>
      <c r="E273" s="83"/>
      <c r="F273" s="83"/>
      <c r="G273" s="82"/>
      <c r="H273" s="82"/>
      <c r="I273" s="84"/>
      <c r="J273" s="84"/>
    </row>
    <row r="274" spans="2:10" ht="15.75">
      <c r="B274" s="86"/>
      <c r="C274" s="81"/>
      <c r="D274" s="83"/>
      <c r="E274" s="83"/>
      <c r="F274" s="83"/>
      <c r="G274" s="82"/>
      <c r="H274" s="82"/>
      <c r="I274" s="84"/>
      <c r="J274" s="84"/>
    </row>
    <row r="275" spans="2:10" ht="15.75">
      <c r="B275" s="86"/>
      <c r="C275" s="81"/>
      <c r="D275" s="83"/>
      <c r="E275" s="83"/>
      <c r="F275" s="83"/>
      <c r="G275" s="82"/>
      <c r="H275" s="82"/>
      <c r="I275" s="84"/>
      <c r="J275" s="84"/>
    </row>
    <row r="276" spans="2:10" ht="15.75">
      <c r="B276" s="86"/>
      <c r="C276" s="81"/>
      <c r="D276" s="83"/>
      <c r="E276" s="83"/>
      <c r="F276" s="83"/>
      <c r="G276" s="82"/>
      <c r="H276" s="82"/>
      <c r="I276" s="84"/>
      <c r="J276" s="84"/>
    </row>
    <row r="277" spans="2:10" ht="15.75">
      <c r="B277" s="86"/>
      <c r="C277" s="81"/>
      <c r="D277" s="83"/>
      <c r="E277" s="83"/>
      <c r="F277" s="83"/>
      <c r="G277" s="82"/>
      <c r="H277" s="82"/>
      <c r="I277" s="84"/>
      <c r="J277" s="84"/>
    </row>
    <row r="278" spans="2:10" ht="15.75">
      <c r="B278" s="86"/>
      <c r="C278" s="81"/>
      <c r="D278" s="83"/>
      <c r="E278" s="83"/>
      <c r="F278" s="83"/>
      <c r="G278" s="82"/>
      <c r="H278" s="82"/>
      <c r="I278" s="84"/>
      <c r="J278" s="84"/>
    </row>
    <row r="279" spans="2:10" ht="15.75">
      <c r="B279" s="86"/>
      <c r="C279" s="81"/>
      <c r="D279" s="83"/>
      <c r="E279" s="83"/>
      <c r="F279" s="83"/>
      <c r="G279" s="82"/>
      <c r="H279" s="82"/>
      <c r="I279" s="84"/>
      <c r="J279" s="84"/>
    </row>
    <row r="280" spans="2:10" ht="15.75">
      <c r="B280" s="86"/>
      <c r="C280" s="81"/>
      <c r="D280" s="83"/>
      <c r="E280" s="83"/>
      <c r="F280" s="83"/>
      <c r="G280" s="82"/>
      <c r="H280" s="82"/>
      <c r="I280" s="84"/>
      <c r="J280" s="84"/>
    </row>
    <row r="281" spans="2:10" ht="15.75">
      <c r="B281" s="86"/>
      <c r="C281" s="81"/>
      <c r="D281" s="83"/>
      <c r="E281" s="83"/>
      <c r="F281" s="83"/>
      <c r="G281" s="82"/>
      <c r="H281" s="82"/>
      <c r="I281" s="84"/>
      <c r="J281" s="84"/>
    </row>
    <row r="282" spans="2:10" ht="15.75">
      <c r="B282" s="86"/>
      <c r="C282" s="81"/>
      <c r="D282" s="83"/>
      <c r="E282" s="83"/>
      <c r="F282" s="83"/>
      <c r="G282" s="82"/>
      <c r="H282" s="82"/>
      <c r="I282" s="84"/>
      <c r="J282" s="84"/>
    </row>
    <row r="283" spans="2:10" ht="15.75">
      <c r="B283" s="86"/>
      <c r="C283" s="81"/>
      <c r="D283" s="83"/>
      <c r="E283" s="83"/>
      <c r="F283" s="83"/>
      <c r="G283" s="82"/>
      <c r="H283" s="82"/>
      <c r="I283" s="84"/>
      <c r="J283" s="84"/>
    </row>
    <row r="284" spans="2:10" ht="15.75">
      <c r="B284" s="86"/>
      <c r="C284" s="81"/>
      <c r="D284" s="83"/>
      <c r="E284" s="83"/>
      <c r="F284" s="83"/>
      <c r="G284" s="82"/>
      <c r="H284" s="82"/>
      <c r="I284" s="84"/>
      <c r="J284" s="84"/>
    </row>
    <row r="285" spans="2:10" ht="15.75">
      <c r="B285" s="86"/>
      <c r="C285" s="81"/>
      <c r="D285" s="83"/>
      <c r="E285" s="83"/>
      <c r="F285" s="83"/>
      <c r="G285" s="82"/>
      <c r="H285" s="82"/>
      <c r="I285" s="84"/>
      <c r="J285" s="84"/>
    </row>
    <row r="286" spans="2:10" ht="15.75">
      <c r="B286" s="86"/>
      <c r="C286" s="81"/>
      <c r="D286" s="83"/>
      <c r="E286" s="83"/>
      <c r="F286" s="83"/>
      <c r="G286" s="82"/>
      <c r="H286" s="82"/>
      <c r="I286" s="84"/>
      <c r="J286" s="84"/>
    </row>
    <row r="287" spans="2:10" ht="15.75">
      <c r="B287" s="86"/>
      <c r="C287" s="81"/>
      <c r="D287" s="83"/>
      <c r="E287" s="83"/>
      <c r="F287" s="83"/>
      <c r="G287" s="82"/>
      <c r="H287" s="82"/>
      <c r="I287" s="84"/>
      <c r="J287" s="84"/>
    </row>
    <row r="288" spans="2:10" ht="15.75">
      <c r="B288" s="86"/>
      <c r="C288" s="81"/>
      <c r="D288" s="83"/>
      <c r="E288" s="83"/>
      <c r="F288" s="83"/>
      <c r="G288" s="82"/>
      <c r="H288" s="82"/>
      <c r="I288" s="84"/>
      <c r="J288" s="84"/>
    </row>
    <row r="289" spans="2:10" ht="15.75">
      <c r="B289" s="86"/>
      <c r="C289" s="81"/>
      <c r="D289" s="83"/>
      <c r="E289" s="83"/>
      <c r="F289" s="83"/>
      <c r="G289" s="82"/>
      <c r="H289" s="82"/>
      <c r="I289" s="84"/>
      <c r="J289" s="84"/>
    </row>
    <row r="290" spans="2:10" ht="15.75">
      <c r="B290" s="86"/>
      <c r="C290" s="81"/>
      <c r="D290" s="83"/>
      <c r="E290" s="83"/>
      <c r="F290" s="83"/>
      <c r="G290" s="82"/>
      <c r="H290" s="82"/>
      <c r="I290" s="84"/>
      <c r="J290" s="84"/>
    </row>
    <row r="291" spans="2:10" ht="15.75">
      <c r="B291" s="86"/>
      <c r="C291" s="81"/>
      <c r="D291" s="83"/>
      <c r="E291" s="83"/>
      <c r="F291" s="83"/>
      <c r="G291" s="82"/>
      <c r="H291" s="82"/>
      <c r="I291" s="84"/>
      <c r="J291" s="84"/>
    </row>
    <row r="292" spans="2:10" ht="15.75">
      <c r="B292" s="86"/>
      <c r="C292" s="81"/>
      <c r="D292" s="83"/>
      <c r="E292" s="83"/>
      <c r="F292" s="83"/>
      <c r="G292" s="82"/>
      <c r="H292" s="82"/>
      <c r="I292" s="84"/>
      <c r="J292" s="84"/>
    </row>
    <row r="293" spans="2:10" ht="15.75">
      <c r="B293" s="86"/>
      <c r="C293" s="81"/>
      <c r="D293" s="83"/>
      <c r="E293" s="83"/>
      <c r="F293" s="83"/>
      <c r="G293" s="82"/>
      <c r="H293" s="82"/>
      <c r="I293" s="84"/>
      <c r="J293" s="84"/>
    </row>
    <row r="294" spans="2:10" ht="15.75">
      <c r="B294" s="86"/>
      <c r="C294" s="81"/>
      <c r="D294" s="83"/>
      <c r="E294" s="83"/>
      <c r="F294" s="83"/>
      <c r="G294" s="82"/>
      <c r="H294" s="82"/>
      <c r="I294" s="84"/>
      <c r="J294" s="84"/>
    </row>
    <row r="295" spans="2:10" ht="15.75">
      <c r="B295" s="86"/>
      <c r="C295" s="81"/>
      <c r="D295" s="83"/>
      <c r="E295" s="83"/>
      <c r="F295" s="83"/>
      <c r="G295" s="82"/>
      <c r="H295" s="82"/>
      <c r="I295" s="84"/>
      <c r="J295" s="84"/>
    </row>
    <row r="296" spans="2:10" ht="15.75">
      <c r="B296" s="86"/>
      <c r="C296" s="81"/>
      <c r="D296" s="83"/>
      <c r="E296" s="83"/>
      <c r="F296" s="83"/>
      <c r="G296" s="82"/>
      <c r="H296" s="82"/>
      <c r="I296" s="84"/>
      <c r="J296" s="84"/>
    </row>
    <row r="297" spans="2:10" ht="15.75">
      <c r="B297" s="86"/>
      <c r="C297" s="81"/>
      <c r="D297" s="83"/>
      <c r="E297" s="83"/>
      <c r="F297" s="83"/>
      <c r="G297" s="82"/>
      <c r="H297" s="82"/>
      <c r="I297" s="84"/>
      <c r="J297" s="84"/>
    </row>
    <row r="298" spans="2:10" ht="15.75">
      <c r="B298" s="86"/>
      <c r="C298" s="81"/>
      <c r="D298" s="83"/>
      <c r="E298" s="83"/>
      <c r="F298" s="83"/>
      <c r="G298" s="82"/>
      <c r="H298" s="82"/>
      <c r="I298" s="84"/>
      <c r="J298" s="84"/>
    </row>
    <row r="299" spans="2:10" ht="15.75">
      <c r="B299" s="86"/>
      <c r="C299" s="81"/>
      <c r="D299" s="83"/>
      <c r="E299" s="83"/>
      <c r="F299" s="83"/>
      <c r="G299" s="82"/>
      <c r="H299" s="82"/>
      <c r="I299" s="84"/>
      <c r="J299" s="84"/>
    </row>
    <row r="300" spans="2:10" ht="15.75">
      <c r="B300" s="86"/>
      <c r="C300" s="81"/>
      <c r="D300" s="83"/>
      <c r="E300" s="83"/>
      <c r="F300" s="83"/>
      <c r="G300" s="82"/>
      <c r="H300" s="82"/>
      <c r="I300" s="84"/>
      <c r="J300" s="84"/>
    </row>
    <row r="301" spans="2:10" ht="15.75">
      <c r="B301" s="86"/>
      <c r="C301" s="81"/>
      <c r="D301" s="83"/>
      <c r="E301" s="83"/>
      <c r="F301" s="83"/>
      <c r="G301" s="82"/>
      <c r="H301" s="82"/>
      <c r="I301" s="84"/>
      <c r="J301" s="84"/>
    </row>
    <row r="302" spans="2:10" ht="15.75">
      <c r="B302" s="86"/>
      <c r="C302" s="81"/>
      <c r="D302" s="83"/>
      <c r="E302" s="83"/>
      <c r="F302" s="83"/>
      <c r="G302" s="82"/>
      <c r="H302" s="82"/>
      <c r="I302" s="84"/>
      <c r="J302" s="84"/>
    </row>
    <row r="303" spans="2:10" ht="15.75">
      <c r="B303" s="86"/>
      <c r="C303" s="81"/>
      <c r="D303" s="83"/>
      <c r="E303" s="83"/>
      <c r="F303" s="83"/>
      <c r="G303" s="82"/>
      <c r="H303" s="82"/>
      <c r="I303" s="84"/>
      <c r="J303" s="84"/>
    </row>
    <row r="304" spans="2:10" ht="15.75">
      <c r="B304" s="86"/>
      <c r="C304" s="81"/>
      <c r="D304" s="83"/>
      <c r="E304" s="83"/>
      <c r="F304" s="83"/>
      <c r="G304" s="82"/>
      <c r="H304" s="82"/>
      <c r="I304" s="84"/>
      <c r="J304" s="84"/>
    </row>
    <row r="305" spans="2:10" ht="15.75">
      <c r="B305" s="86"/>
      <c r="C305" s="81"/>
      <c r="D305" s="83"/>
      <c r="E305" s="83"/>
      <c r="F305" s="83"/>
      <c r="G305" s="82"/>
      <c r="H305" s="82"/>
      <c r="I305" s="84"/>
      <c r="J305" s="84"/>
    </row>
    <row r="306" spans="2:10" ht="15.75">
      <c r="B306" s="86"/>
      <c r="C306" s="81"/>
      <c r="D306" s="83"/>
      <c r="E306" s="83"/>
      <c r="F306" s="83"/>
      <c r="G306" s="82"/>
      <c r="H306" s="82"/>
      <c r="I306" s="84"/>
      <c r="J306" s="84"/>
    </row>
    <row r="307" spans="2:10" ht="15.75">
      <c r="B307" s="86"/>
      <c r="C307" s="81"/>
      <c r="D307" s="83"/>
      <c r="E307" s="83"/>
      <c r="F307" s="83"/>
      <c r="G307" s="82"/>
      <c r="H307" s="82"/>
      <c r="I307" s="84"/>
      <c r="J307" s="84"/>
    </row>
    <row r="308" spans="2:10" ht="15.75">
      <c r="B308" s="86"/>
      <c r="C308" s="81"/>
      <c r="D308" s="83"/>
      <c r="E308" s="83"/>
      <c r="F308" s="83"/>
      <c r="G308" s="82"/>
      <c r="H308" s="82"/>
      <c r="I308" s="84"/>
      <c r="J308" s="84"/>
    </row>
    <row r="309" spans="2:10" ht="15.75">
      <c r="B309" s="86"/>
      <c r="C309" s="81"/>
      <c r="D309" s="83"/>
      <c r="E309" s="83"/>
      <c r="F309" s="83"/>
      <c r="G309" s="82"/>
      <c r="H309" s="82"/>
      <c r="I309" s="84"/>
      <c r="J309" s="84"/>
    </row>
    <row r="310" spans="2:10" ht="15.75">
      <c r="B310" s="86"/>
      <c r="C310" s="81"/>
      <c r="D310" s="83"/>
      <c r="E310" s="83"/>
      <c r="F310" s="83"/>
      <c r="G310" s="82"/>
      <c r="H310" s="82"/>
      <c r="I310" s="84"/>
      <c r="J310" s="84"/>
    </row>
    <row r="311" spans="2:10" ht="15.75">
      <c r="B311" s="86"/>
      <c r="C311" s="81"/>
      <c r="D311" s="83"/>
      <c r="E311" s="83"/>
      <c r="F311" s="83"/>
      <c r="G311" s="82"/>
      <c r="H311" s="82"/>
      <c r="I311" s="84"/>
      <c r="J311" s="84"/>
    </row>
    <row r="312" spans="2:10" ht="15.75">
      <c r="B312" s="86"/>
      <c r="C312" s="81"/>
      <c r="D312" s="83"/>
      <c r="E312" s="83"/>
      <c r="F312" s="83"/>
      <c r="G312" s="82"/>
      <c r="H312" s="82"/>
      <c r="I312" s="84"/>
      <c r="J312" s="84"/>
    </row>
    <row r="313" spans="2:10" ht="15.75">
      <c r="B313" s="86"/>
      <c r="C313" s="81"/>
      <c r="D313" s="83"/>
      <c r="E313" s="83"/>
      <c r="F313" s="83"/>
      <c r="G313" s="82"/>
      <c r="H313" s="82"/>
      <c r="I313" s="84"/>
      <c r="J313" s="84"/>
    </row>
    <row r="314" spans="2:10" ht="15.75">
      <c r="B314" s="86"/>
      <c r="C314" s="81"/>
      <c r="D314" s="83"/>
      <c r="E314" s="83"/>
      <c r="F314" s="83"/>
      <c r="G314" s="82"/>
      <c r="H314" s="82"/>
      <c r="I314" s="84"/>
      <c r="J314" s="84"/>
    </row>
    <row r="315" spans="2:10" ht="15.75">
      <c r="B315" s="86"/>
      <c r="C315" s="81"/>
      <c r="D315" s="83"/>
      <c r="E315" s="83"/>
      <c r="F315" s="83"/>
      <c r="G315" s="82"/>
      <c r="H315" s="82"/>
      <c r="I315" s="84"/>
      <c r="J315" s="84"/>
    </row>
    <row r="316" spans="2:10" ht="15.75">
      <c r="B316" s="86"/>
      <c r="C316" s="81"/>
      <c r="D316" s="83"/>
      <c r="E316" s="83"/>
      <c r="F316" s="83"/>
      <c r="G316" s="82"/>
      <c r="H316" s="82"/>
      <c r="I316" s="84"/>
      <c r="J316" s="84"/>
    </row>
    <row r="317" spans="2:10" ht="15.75">
      <c r="B317" s="86"/>
      <c r="C317" s="81"/>
      <c r="D317" s="83"/>
      <c r="E317" s="83"/>
      <c r="F317" s="83"/>
      <c r="G317" s="82"/>
      <c r="H317" s="82"/>
      <c r="I317" s="84"/>
      <c r="J317" s="84"/>
    </row>
    <row r="318" spans="2:10" ht="15.75">
      <c r="B318" s="86"/>
      <c r="C318" s="81"/>
      <c r="D318" s="83"/>
      <c r="E318" s="83"/>
      <c r="F318" s="83"/>
      <c r="G318" s="82"/>
      <c r="H318" s="82"/>
      <c r="I318" s="84"/>
      <c r="J318" s="84"/>
    </row>
    <row r="319" spans="2:10" ht="15.75">
      <c r="B319" s="86"/>
      <c r="C319" s="81"/>
      <c r="D319" s="83"/>
      <c r="E319" s="83"/>
      <c r="F319" s="83"/>
      <c r="G319" s="82"/>
      <c r="H319" s="82"/>
      <c r="I319" s="84"/>
      <c r="J319" s="84"/>
    </row>
    <row r="320" spans="2:10" ht="15.75">
      <c r="B320" s="86"/>
      <c r="C320" s="81"/>
      <c r="D320" s="83"/>
      <c r="E320" s="83"/>
      <c r="F320" s="83"/>
      <c r="G320" s="82"/>
      <c r="H320" s="82"/>
      <c r="I320" s="84"/>
      <c r="J320" s="84"/>
    </row>
    <row r="321" spans="2:10" ht="15.75">
      <c r="B321" s="86"/>
      <c r="C321" s="81"/>
      <c r="D321" s="83"/>
      <c r="E321" s="83"/>
      <c r="F321" s="83"/>
      <c r="G321" s="82"/>
      <c r="H321" s="82"/>
      <c r="I321" s="84"/>
      <c r="J321" s="84"/>
    </row>
    <row r="322" spans="2:10" ht="15.75">
      <c r="B322" s="86"/>
      <c r="C322" s="81"/>
      <c r="D322" s="83"/>
      <c r="E322" s="83"/>
      <c r="F322" s="83"/>
      <c r="G322" s="82"/>
      <c r="H322" s="82"/>
      <c r="I322" s="84"/>
      <c r="J322" s="84"/>
    </row>
    <row r="323" spans="2:10" ht="15.75">
      <c r="B323" s="86"/>
      <c r="C323" s="81"/>
      <c r="D323" s="83"/>
      <c r="E323" s="83"/>
      <c r="F323" s="83"/>
      <c r="G323" s="82"/>
      <c r="H323" s="82"/>
      <c r="I323" s="84"/>
      <c r="J323" s="84"/>
    </row>
    <row r="324" spans="2:10" ht="15.75">
      <c r="B324" s="86"/>
      <c r="C324" s="81"/>
      <c r="D324" s="83"/>
      <c r="E324" s="83"/>
      <c r="F324" s="83"/>
      <c r="G324" s="82"/>
      <c r="H324" s="82"/>
      <c r="I324" s="84"/>
      <c r="J324" s="84"/>
    </row>
    <row r="325" spans="2:10" ht="15.75">
      <c r="B325" s="86"/>
      <c r="C325" s="81"/>
      <c r="D325" s="87"/>
      <c r="E325" s="87"/>
      <c r="F325" s="87"/>
      <c r="G325" s="88"/>
      <c r="H325" s="88"/>
      <c r="I325" s="89"/>
      <c r="J325" s="89"/>
    </row>
    <row r="326" spans="2:10" ht="15.75">
      <c r="B326" s="86"/>
      <c r="C326" s="81"/>
      <c r="D326" s="87"/>
      <c r="E326" s="87"/>
      <c r="F326" s="87"/>
      <c r="G326" s="88"/>
      <c r="H326" s="88"/>
      <c r="I326" s="89"/>
      <c r="J326" s="89"/>
    </row>
    <row r="327" spans="2:10" ht="15.75">
      <c r="B327" s="86"/>
      <c r="C327" s="81"/>
      <c r="D327" s="87"/>
      <c r="E327" s="87"/>
      <c r="F327" s="87"/>
      <c r="G327" s="88"/>
      <c r="H327" s="88"/>
      <c r="I327" s="89"/>
      <c r="J327" s="89"/>
    </row>
    <row r="328" spans="2:10" ht="15.75">
      <c r="B328" s="86"/>
      <c r="C328" s="81"/>
      <c r="D328" s="87"/>
      <c r="E328" s="87"/>
      <c r="F328" s="87"/>
      <c r="G328" s="88"/>
      <c r="H328" s="88"/>
      <c r="I328" s="89"/>
      <c r="J328" s="89"/>
    </row>
    <row r="329" spans="2:10" ht="15.75">
      <c r="B329" s="86"/>
      <c r="C329" s="81"/>
      <c r="D329" s="87"/>
      <c r="E329" s="87"/>
      <c r="F329" s="87"/>
      <c r="G329" s="88"/>
      <c r="H329" s="88"/>
      <c r="I329" s="89"/>
      <c r="J329" s="89"/>
    </row>
    <row r="330" spans="2:10" ht="15.75">
      <c r="B330" s="86"/>
      <c r="C330" s="81"/>
      <c r="D330" s="87"/>
      <c r="E330" s="87"/>
      <c r="F330" s="87"/>
      <c r="G330" s="88"/>
      <c r="H330" s="88"/>
      <c r="I330" s="89"/>
      <c r="J330" s="89"/>
    </row>
    <row r="331" spans="2:10" ht="15.75">
      <c r="B331" s="86"/>
      <c r="C331" s="81"/>
      <c r="D331" s="87"/>
      <c r="E331" s="87"/>
      <c r="F331" s="87"/>
      <c r="G331" s="88"/>
      <c r="H331" s="88"/>
      <c r="I331" s="89"/>
      <c r="J331" s="89"/>
    </row>
    <row r="332" spans="2:10" ht="15.75">
      <c r="B332" s="86"/>
      <c r="C332" s="81"/>
      <c r="D332" s="87"/>
      <c r="E332" s="87"/>
      <c r="F332" s="87"/>
      <c r="G332" s="88"/>
      <c r="H332" s="88"/>
      <c r="I332" s="89"/>
      <c r="J332" s="89"/>
    </row>
    <row r="333" spans="2:10" ht="15.75">
      <c r="B333" s="86"/>
      <c r="C333" s="81"/>
      <c r="D333" s="87"/>
      <c r="E333" s="87"/>
      <c r="F333" s="87"/>
      <c r="G333" s="88"/>
      <c r="H333" s="88"/>
      <c r="I333" s="89"/>
      <c r="J333" s="89"/>
    </row>
    <row r="334" spans="2:10" ht="15.75">
      <c r="B334" s="86"/>
      <c r="C334" s="81"/>
      <c r="D334" s="87"/>
      <c r="E334" s="87"/>
      <c r="F334" s="87"/>
      <c r="G334" s="88"/>
      <c r="H334" s="88"/>
      <c r="I334" s="89"/>
      <c r="J334" s="89"/>
    </row>
    <row r="335" spans="2:10" ht="15.75">
      <c r="B335" s="86"/>
      <c r="C335" s="81"/>
      <c r="D335" s="87"/>
      <c r="E335" s="87"/>
      <c r="F335" s="87"/>
      <c r="G335" s="88"/>
      <c r="H335" s="88"/>
      <c r="I335" s="89"/>
      <c r="J335" s="89"/>
    </row>
    <row r="336" spans="2:10" ht="15.75">
      <c r="B336" s="86"/>
      <c r="C336" s="81"/>
      <c r="D336" s="87"/>
      <c r="E336" s="87"/>
      <c r="F336" s="87"/>
      <c r="G336" s="88"/>
      <c r="H336" s="88"/>
      <c r="I336" s="89"/>
      <c r="J336" s="89"/>
    </row>
    <row r="337" spans="2:10" ht="15.75">
      <c r="B337" s="86"/>
      <c r="C337" s="81"/>
      <c r="D337" s="87"/>
      <c r="E337" s="87"/>
      <c r="F337" s="87"/>
      <c r="G337" s="88"/>
      <c r="H337" s="88"/>
      <c r="I337" s="89"/>
      <c r="J337" s="89"/>
    </row>
    <row r="338" spans="2:10" ht="15.75">
      <c r="B338" s="86"/>
      <c r="C338" s="81"/>
      <c r="D338" s="87"/>
      <c r="E338" s="87"/>
      <c r="F338" s="87"/>
      <c r="G338" s="88"/>
      <c r="H338" s="88"/>
      <c r="I338" s="89"/>
      <c r="J338" s="89"/>
    </row>
    <row r="339" spans="2:10" ht="15.75">
      <c r="B339" s="86"/>
      <c r="C339" s="81"/>
      <c r="D339" s="87"/>
      <c r="E339" s="87"/>
      <c r="F339" s="87"/>
      <c r="G339" s="88"/>
      <c r="H339" s="88"/>
      <c r="I339" s="89"/>
      <c r="J339" s="89"/>
    </row>
    <row r="340" spans="2:10" ht="15.75">
      <c r="B340" s="86"/>
      <c r="C340" s="81"/>
      <c r="D340" s="87"/>
      <c r="E340" s="87"/>
      <c r="F340" s="87"/>
      <c r="G340" s="88"/>
      <c r="H340" s="88"/>
      <c r="I340" s="89"/>
      <c r="J340" s="89"/>
    </row>
    <row r="341" spans="2:10" ht="15.75">
      <c r="B341" s="86"/>
      <c r="C341" s="81"/>
      <c r="D341" s="87"/>
      <c r="E341" s="87"/>
      <c r="F341" s="87"/>
      <c r="G341" s="88"/>
      <c r="H341" s="88"/>
      <c r="I341" s="89"/>
      <c r="J341" s="89"/>
    </row>
    <row r="342" spans="2:10" ht="15.75">
      <c r="B342" s="86"/>
      <c r="C342" s="81"/>
      <c r="D342" s="87"/>
      <c r="E342" s="87"/>
      <c r="F342" s="87"/>
      <c r="G342" s="88"/>
      <c r="H342" s="88"/>
      <c r="I342" s="89"/>
      <c r="J342" s="89"/>
    </row>
    <row r="343" spans="2:10" ht="15.75">
      <c r="B343" s="86"/>
      <c r="C343" s="81"/>
      <c r="D343" s="87"/>
      <c r="E343" s="87"/>
      <c r="F343" s="87"/>
      <c r="G343" s="88"/>
      <c r="H343" s="88"/>
      <c r="I343" s="89"/>
      <c r="J343" s="89"/>
    </row>
    <row r="344" spans="2:10" ht="15.75">
      <c r="B344" s="86"/>
      <c r="C344" s="81"/>
      <c r="D344" s="87"/>
      <c r="E344" s="87"/>
      <c r="F344" s="87"/>
      <c r="G344" s="88"/>
      <c r="H344" s="88"/>
      <c r="I344" s="89"/>
      <c r="J344" s="89"/>
    </row>
    <row r="345" spans="2:10" ht="15.75">
      <c r="B345" s="86"/>
      <c r="C345" s="81"/>
      <c r="D345" s="87"/>
      <c r="E345" s="87"/>
      <c r="F345" s="87"/>
      <c r="G345" s="88"/>
      <c r="H345" s="88"/>
      <c r="I345" s="89"/>
      <c r="J345" s="89"/>
    </row>
    <row r="346" spans="2:10" ht="15.75">
      <c r="B346" s="86"/>
      <c r="C346" s="81"/>
      <c r="D346" s="87"/>
      <c r="E346" s="87"/>
      <c r="F346" s="87"/>
      <c r="G346" s="88"/>
      <c r="H346" s="88"/>
      <c r="I346" s="89"/>
      <c r="J346" s="89"/>
    </row>
    <row r="347" spans="2:10" ht="15.75">
      <c r="B347" s="86"/>
      <c r="C347" s="81"/>
      <c r="D347" s="87"/>
      <c r="E347" s="87"/>
      <c r="F347" s="87"/>
      <c r="G347" s="88"/>
      <c r="H347" s="88"/>
      <c r="I347" s="89"/>
      <c r="J347" s="89"/>
    </row>
    <row r="348" spans="2:10" ht="15.75">
      <c r="B348" s="86"/>
      <c r="C348" s="81"/>
      <c r="D348" s="87"/>
      <c r="E348" s="87"/>
      <c r="F348" s="87"/>
      <c r="G348" s="88"/>
      <c r="H348" s="88"/>
      <c r="I348" s="89"/>
      <c r="J348" s="89"/>
    </row>
    <row r="349" spans="2:10" ht="15.75">
      <c r="B349" s="86"/>
      <c r="C349" s="81"/>
      <c r="D349" s="87"/>
      <c r="E349" s="87"/>
      <c r="F349" s="87"/>
      <c r="G349" s="88"/>
      <c r="H349" s="88"/>
      <c r="I349" s="89"/>
      <c r="J349" s="89"/>
    </row>
    <row r="350" spans="2:10" ht="15.75">
      <c r="B350" s="86"/>
      <c r="C350" s="81"/>
      <c r="D350" s="87"/>
      <c r="E350" s="87"/>
      <c r="F350" s="87"/>
      <c r="G350" s="88"/>
      <c r="H350" s="88"/>
      <c r="I350" s="89"/>
      <c r="J350" s="89"/>
    </row>
    <row r="351" spans="2:10" ht="15.75">
      <c r="B351" s="86"/>
      <c r="C351" s="81"/>
      <c r="D351" s="87"/>
      <c r="E351" s="87"/>
      <c r="F351" s="87"/>
      <c r="G351" s="88"/>
      <c r="H351" s="88"/>
      <c r="I351" s="89"/>
      <c r="J351" s="89"/>
    </row>
    <row r="352" spans="2:10" ht="15.75">
      <c r="B352" s="86"/>
      <c r="C352" s="81"/>
      <c r="D352" s="87"/>
      <c r="E352" s="87"/>
      <c r="F352" s="87"/>
      <c r="G352" s="88"/>
      <c r="H352" s="88"/>
      <c r="I352" s="89"/>
      <c r="J352" s="89"/>
    </row>
    <row r="353" spans="2:10" ht="15.75">
      <c r="B353" s="86"/>
      <c r="C353" s="81"/>
      <c r="D353" s="87"/>
      <c r="E353" s="87"/>
      <c r="F353" s="87"/>
      <c r="G353" s="88"/>
      <c r="H353" s="88"/>
      <c r="I353" s="89"/>
      <c r="J353" s="89"/>
    </row>
    <row r="354" spans="2:10" ht="15.75">
      <c r="B354" s="86"/>
      <c r="C354" s="81"/>
      <c r="D354" s="87"/>
      <c r="E354" s="87"/>
      <c r="F354" s="87"/>
      <c r="G354" s="88"/>
      <c r="H354" s="88"/>
      <c r="I354" s="89"/>
      <c r="J354" s="89"/>
    </row>
    <row r="355" spans="2:10" ht="15.75">
      <c r="B355" s="86"/>
      <c r="C355" s="81"/>
      <c r="D355" s="87"/>
      <c r="E355" s="87"/>
      <c r="F355" s="87"/>
      <c r="G355" s="88"/>
      <c r="H355" s="88"/>
      <c r="I355" s="89"/>
      <c r="J355" s="89"/>
    </row>
    <row r="356" spans="2:10" ht="15.75">
      <c r="B356" s="86"/>
      <c r="C356" s="81"/>
      <c r="D356" s="87"/>
      <c r="E356" s="87"/>
      <c r="F356" s="87"/>
      <c r="G356" s="88"/>
      <c r="H356" s="88"/>
      <c r="I356" s="89"/>
      <c r="J356" s="89"/>
    </row>
    <row r="357" spans="2:10" ht="15.75">
      <c r="B357" s="86"/>
      <c r="C357" s="81"/>
      <c r="D357" s="87"/>
      <c r="E357" s="87"/>
      <c r="F357" s="87"/>
      <c r="G357" s="88"/>
      <c r="H357" s="88"/>
      <c r="I357" s="89"/>
      <c r="J357" s="89"/>
    </row>
    <row r="358" spans="2:10" ht="15.75">
      <c r="B358" s="86"/>
      <c r="C358" s="81"/>
      <c r="D358" s="87"/>
      <c r="E358" s="87"/>
      <c r="F358" s="87"/>
      <c r="G358" s="88"/>
      <c r="H358" s="88"/>
      <c r="I358" s="89"/>
      <c r="J358" s="89"/>
    </row>
    <row r="359" spans="2:10" ht="15.75">
      <c r="B359" s="86"/>
      <c r="C359" s="81"/>
      <c r="D359" s="87"/>
      <c r="E359" s="87"/>
      <c r="F359" s="87"/>
      <c r="G359" s="88"/>
      <c r="H359" s="88"/>
      <c r="I359" s="89"/>
      <c r="J359" s="89"/>
    </row>
    <row r="360" spans="2:10" ht="15.75">
      <c r="B360" s="86"/>
      <c r="C360" s="81"/>
      <c r="D360" s="87"/>
      <c r="E360" s="87"/>
      <c r="F360" s="87"/>
      <c r="G360" s="88"/>
      <c r="H360" s="88"/>
      <c r="I360" s="89"/>
      <c r="J360" s="89"/>
    </row>
    <row r="361" spans="2:10" ht="15.75">
      <c r="B361" s="86"/>
      <c r="C361" s="81"/>
      <c r="D361" s="87"/>
      <c r="E361" s="87"/>
      <c r="F361" s="87"/>
      <c r="G361" s="88"/>
      <c r="H361" s="88"/>
      <c r="I361" s="89"/>
      <c r="J361" s="89"/>
    </row>
    <row r="362" spans="2:10" ht="15.75">
      <c r="B362" s="86"/>
      <c r="C362" s="81"/>
      <c r="D362" s="87"/>
      <c r="E362" s="87"/>
      <c r="F362" s="87"/>
      <c r="G362" s="88"/>
      <c r="H362" s="88"/>
      <c r="I362" s="89"/>
      <c r="J362" s="89"/>
    </row>
    <row r="363" spans="2:10" ht="15.75">
      <c r="B363" s="86"/>
      <c r="C363" s="81"/>
      <c r="D363" s="87"/>
      <c r="E363" s="87"/>
      <c r="F363" s="87"/>
      <c r="G363" s="88"/>
      <c r="H363" s="88"/>
      <c r="I363" s="89"/>
      <c r="J363" s="89"/>
    </row>
    <row r="364" spans="2:10" ht="15.75">
      <c r="B364" s="86"/>
      <c r="C364" s="81"/>
      <c r="D364" s="87"/>
      <c r="E364" s="87"/>
      <c r="F364" s="87"/>
      <c r="G364" s="88"/>
      <c r="H364" s="88"/>
      <c r="I364" s="89"/>
      <c r="J364" s="89"/>
    </row>
    <row r="365" spans="2:10" ht="15.75">
      <c r="B365" s="86"/>
      <c r="C365" s="81"/>
      <c r="D365" s="87"/>
      <c r="E365" s="87"/>
      <c r="F365" s="87"/>
      <c r="G365" s="88"/>
      <c r="H365" s="88"/>
      <c r="I365" s="89"/>
      <c r="J365" s="89"/>
    </row>
    <row r="366" spans="2:10" ht="15.75">
      <c r="B366" s="86"/>
      <c r="C366" s="81"/>
      <c r="D366" s="87"/>
      <c r="E366" s="87"/>
      <c r="F366" s="87"/>
      <c r="G366" s="88"/>
      <c r="H366" s="88"/>
      <c r="I366" s="89"/>
      <c r="J366" s="89"/>
    </row>
    <row r="367" spans="2:10" ht="15.75">
      <c r="B367" s="86"/>
      <c r="C367" s="81"/>
      <c r="D367" s="87"/>
      <c r="E367" s="87"/>
      <c r="F367" s="87"/>
      <c r="G367" s="88"/>
      <c r="H367" s="88"/>
      <c r="I367" s="89"/>
      <c r="J367" s="89"/>
    </row>
    <row r="368" spans="2:10" ht="15.75">
      <c r="B368" s="86"/>
      <c r="C368" s="81"/>
      <c r="D368" s="87"/>
      <c r="E368" s="87"/>
      <c r="F368" s="87"/>
      <c r="G368" s="88"/>
      <c r="H368" s="88"/>
      <c r="I368" s="89"/>
      <c r="J368" s="89"/>
    </row>
    <row r="369" spans="2:10" ht="15.75">
      <c r="B369" s="86"/>
      <c r="C369" s="81"/>
      <c r="D369" s="87"/>
      <c r="E369" s="87"/>
      <c r="F369" s="87"/>
      <c r="G369" s="88"/>
      <c r="H369" s="88"/>
      <c r="I369" s="89"/>
      <c r="J369" s="89"/>
    </row>
    <row r="370" spans="2:10" ht="15.75">
      <c r="B370" s="86"/>
      <c r="C370" s="81"/>
      <c r="D370" s="87"/>
      <c r="E370" s="87"/>
      <c r="F370" s="87"/>
      <c r="G370" s="88"/>
      <c r="H370" s="88"/>
      <c r="I370" s="89"/>
      <c r="J370" s="89"/>
    </row>
    <row r="371" spans="2:10" ht="15.75">
      <c r="B371" s="86"/>
      <c r="C371" s="81"/>
      <c r="D371" s="87"/>
      <c r="E371" s="87"/>
      <c r="F371" s="87"/>
      <c r="G371" s="88"/>
      <c r="H371" s="88"/>
      <c r="I371" s="89"/>
      <c r="J371" s="89"/>
    </row>
    <row r="372" spans="2:10" ht="15.75">
      <c r="B372" s="86"/>
      <c r="C372" s="81"/>
      <c r="D372" s="87"/>
      <c r="E372" s="87"/>
      <c r="F372" s="87"/>
      <c r="G372" s="88"/>
      <c r="H372" s="88"/>
      <c r="I372" s="89"/>
      <c r="J372" s="89"/>
    </row>
    <row r="373" spans="2:10" ht="15.75">
      <c r="B373" s="86"/>
      <c r="C373" s="81"/>
      <c r="D373" s="87"/>
      <c r="E373" s="87"/>
      <c r="F373" s="87"/>
      <c r="G373" s="88"/>
      <c r="H373" s="88"/>
      <c r="I373" s="89"/>
      <c r="J373" s="89"/>
    </row>
    <row r="374" spans="2:10" ht="15.75">
      <c r="B374" s="86"/>
      <c r="C374" s="81"/>
      <c r="D374" s="87"/>
      <c r="E374" s="87"/>
      <c r="F374" s="87"/>
      <c r="G374" s="88"/>
      <c r="H374" s="88"/>
      <c r="I374" s="89"/>
      <c r="J374" s="89"/>
    </row>
    <row r="375" spans="2:10" ht="15.75">
      <c r="B375" s="86"/>
      <c r="C375" s="81"/>
      <c r="D375" s="87"/>
      <c r="E375" s="87"/>
      <c r="F375" s="87"/>
      <c r="G375" s="88"/>
      <c r="H375" s="88"/>
      <c r="I375" s="89"/>
      <c r="J375" s="89"/>
    </row>
    <row r="376" spans="2:10" ht="15.75">
      <c r="B376" s="86"/>
      <c r="C376" s="81"/>
      <c r="D376" s="87"/>
      <c r="E376" s="87"/>
      <c r="F376" s="87"/>
      <c r="G376" s="88"/>
      <c r="H376" s="88"/>
      <c r="I376" s="89"/>
      <c r="J376" s="89"/>
    </row>
    <row r="377" spans="2:10" ht="15.75">
      <c r="B377" s="86"/>
      <c r="C377" s="81"/>
      <c r="D377" s="87"/>
      <c r="E377" s="87"/>
      <c r="F377" s="87"/>
      <c r="G377" s="88"/>
      <c r="H377" s="88"/>
      <c r="I377" s="89"/>
      <c r="J377" s="89"/>
    </row>
    <row r="378" spans="2:10" ht="15.75">
      <c r="B378" s="86"/>
      <c r="C378" s="81"/>
      <c r="D378" s="87"/>
      <c r="E378" s="87"/>
      <c r="F378" s="87"/>
      <c r="G378" s="88"/>
      <c r="H378" s="88"/>
      <c r="I378" s="89"/>
      <c r="J378" s="89"/>
    </row>
    <row r="379" spans="2:10" ht="15.75">
      <c r="B379" s="86"/>
      <c r="C379" s="81"/>
      <c r="D379" s="87"/>
      <c r="E379" s="87"/>
      <c r="F379" s="87"/>
      <c r="G379" s="88"/>
      <c r="H379" s="88"/>
      <c r="I379" s="89"/>
      <c r="J379" s="89"/>
    </row>
    <row r="380" spans="2:10" ht="15.75">
      <c r="B380" s="86"/>
      <c r="C380" s="81"/>
      <c r="D380" s="87"/>
      <c r="E380" s="87"/>
      <c r="F380" s="87"/>
      <c r="G380" s="88"/>
      <c r="H380" s="88"/>
      <c r="I380" s="89"/>
      <c r="J380" s="89"/>
    </row>
    <row r="381" spans="2:10" ht="15.75">
      <c r="B381" s="86"/>
      <c r="C381" s="81"/>
      <c r="D381" s="87"/>
      <c r="E381" s="87"/>
      <c r="F381" s="87"/>
      <c r="G381" s="88"/>
      <c r="H381" s="88"/>
      <c r="I381" s="89"/>
      <c r="J381" s="89"/>
    </row>
    <row r="382" spans="2:10" ht="15.75">
      <c r="B382" s="86"/>
      <c r="C382" s="81"/>
      <c r="D382" s="87"/>
      <c r="E382" s="87"/>
      <c r="F382" s="87"/>
      <c r="G382" s="88"/>
      <c r="H382" s="88"/>
      <c r="I382" s="89"/>
      <c r="J382" s="89"/>
    </row>
    <row r="383" spans="2:10" ht="15.75">
      <c r="B383" s="86"/>
      <c r="C383" s="81"/>
      <c r="D383" s="87"/>
      <c r="E383" s="87"/>
      <c r="F383" s="87"/>
      <c r="G383" s="88"/>
      <c r="H383" s="88"/>
      <c r="I383" s="89"/>
      <c r="J383" s="89"/>
    </row>
    <row r="384" spans="2:10" ht="15.75">
      <c r="B384" s="86"/>
      <c r="C384" s="81"/>
      <c r="D384" s="87"/>
      <c r="E384" s="87"/>
      <c r="F384" s="87"/>
      <c r="G384" s="88"/>
      <c r="H384" s="88"/>
      <c r="I384" s="89"/>
      <c r="J384" s="89"/>
    </row>
    <row r="385" spans="2:10" ht="15.75">
      <c r="B385" s="86"/>
      <c r="C385" s="81"/>
      <c r="D385" s="87"/>
      <c r="E385" s="87"/>
      <c r="F385" s="87"/>
      <c r="G385" s="88"/>
      <c r="H385" s="88"/>
      <c r="I385" s="89"/>
      <c r="J385" s="89"/>
    </row>
    <row r="386" spans="2:10" ht="15.75">
      <c r="B386" s="86"/>
      <c r="C386" s="81"/>
      <c r="D386" s="87"/>
      <c r="E386" s="87"/>
      <c r="F386" s="87"/>
      <c r="G386" s="88"/>
      <c r="H386" s="88"/>
      <c r="I386" s="89"/>
      <c r="J386" s="89"/>
    </row>
    <row r="387" spans="2:10" ht="15.75">
      <c r="B387" s="86"/>
      <c r="C387" s="81"/>
      <c r="D387" s="87"/>
      <c r="E387" s="87"/>
      <c r="F387" s="87"/>
      <c r="G387" s="88"/>
      <c r="H387" s="88"/>
      <c r="I387" s="89"/>
      <c r="J387" s="89"/>
    </row>
    <row r="388" spans="2:10" ht="15.75">
      <c r="B388" s="86"/>
      <c r="C388" s="81"/>
      <c r="D388" s="87"/>
      <c r="E388" s="87"/>
      <c r="F388" s="87"/>
      <c r="G388" s="88"/>
      <c r="H388" s="88"/>
      <c r="I388" s="89"/>
      <c r="J388" s="89"/>
    </row>
    <row r="389" spans="2:10" ht="15.75">
      <c r="B389" s="86"/>
      <c r="C389" s="81"/>
      <c r="D389" s="87"/>
      <c r="E389" s="87"/>
      <c r="F389" s="87"/>
      <c r="G389" s="88"/>
      <c r="H389" s="88"/>
      <c r="I389" s="89"/>
      <c r="J389" s="89"/>
    </row>
    <row r="390" spans="2:10" ht="15.75">
      <c r="B390" s="86"/>
      <c r="C390" s="81"/>
      <c r="D390" s="87"/>
      <c r="E390" s="87"/>
      <c r="F390" s="87"/>
      <c r="G390" s="88"/>
      <c r="H390" s="88"/>
      <c r="I390" s="89"/>
      <c r="J390" s="89"/>
    </row>
    <row r="391" spans="2:10" ht="15.75">
      <c r="B391" s="86"/>
      <c r="C391" s="81"/>
      <c r="D391" s="87"/>
      <c r="E391" s="87"/>
      <c r="F391" s="87"/>
      <c r="G391" s="88"/>
      <c r="H391" s="88"/>
      <c r="I391" s="89"/>
      <c r="J391" s="89"/>
    </row>
    <row r="392" spans="2:10" ht="15.75">
      <c r="B392" s="86"/>
      <c r="C392" s="81"/>
      <c r="D392" s="87"/>
      <c r="E392" s="87"/>
      <c r="F392" s="87"/>
      <c r="G392" s="88"/>
      <c r="H392" s="88"/>
      <c r="I392" s="89"/>
      <c r="J392" s="89"/>
    </row>
    <row r="393" spans="2:10" ht="15.75">
      <c r="B393" s="86"/>
      <c r="C393" s="81"/>
      <c r="D393" s="87"/>
      <c r="E393" s="87"/>
      <c r="F393" s="87"/>
      <c r="G393" s="88"/>
      <c r="H393" s="88"/>
      <c r="I393" s="89"/>
      <c r="J393" s="89"/>
    </row>
    <row r="394" spans="2:10" ht="15.75">
      <c r="B394" s="86"/>
      <c r="C394" s="81"/>
      <c r="D394" s="87"/>
      <c r="E394" s="87"/>
      <c r="F394" s="87"/>
      <c r="G394" s="88"/>
      <c r="H394" s="88"/>
      <c r="I394" s="89"/>
      <c r="J394" s="89"/>
    </row>
    <row r="395" spans="2:10" ht="15.75">
      <c r="B395" s="86"/>
      <c r="C395" s="81"/>
      <c r="D395" s="87"/>
      <c r="E395" s="87"/>
      <c r="F395" s="87"/>
      <c r="G395" s="88"/>
      <c r="H395" s="88"/>
      <c r="I395" s="89"/>
      <c r="J395" s="89"/>
    </row>
    <row r="396" spans="2:10" ht="15.75">
      <c r="B396" s="86"/>
      <c r="C396" s="81"/>
      <c r="D396" s="87"/>
      <c r="E396" s="87"/>
      <c r="F396" s="87"/>
      <c r="G396" s="88"/>
      <c r="H396" s="88"/>
      <c r="I396" s="89"/>
      <c r="J396" s="89"/>
    </row>
    <row r="397" spans="2:10" ht="15.75">
      <c r="B397" s="86"/>
      <c r="C397" s="81"/>
      <c r="D397" s="87"/>
      <c r="E397" s="87"/>
      <c r="F397" s="87"/>
      <c r="G397" s="88"/>
      <c r="H397" s="88"/>
      <c r="I397" s="89"/>
      <c r="J397" s="89"/>
    </row>
    <row r="398" spans="2:10" ht="15.75">
      <c r="B398" s="86"/>
      <c r="C398" s="81"/>
      <c r="D398" s="87"/>
      <c r="E398" s="87"/>
      <c r="F398" s="87"/>
      <c r="G398" s="88"/>
      <c r="H398" s="88"/>
      <c r="I398" s="89"/>
      <c r="J398" s="89"/>
    </row>
    <row r="399" spans="2:10" ht="15.75">
      <c r="B399" s="86"/>
      <c r="C399" s="81"/>
      <c r="D399" s="87"/>
      <c r="E399" s="87"/>
      <c r="F399" s="87"/>
      <c r="G399" s="88"/>
      <c r="H399" s="88"/>
      <c r="I399" s="89"/>
      <c r="J399" s="89"/>
    </row>
    <row r="400" spans="2:10" ht="15.75">
      <c r="B400" s="86"/>
      <c r="C400" s="81"/>
      <c r="D400" s="87"/>
      <c r="E400" s="87"/>
      <c r="F400" s="87"/>
      <c r="G400" s="88"/>
      <c r="H400" s="88"/>
      <c r="I400" s="89"/>
      <c r="J400" s="89"/>
    </row>
    <row r="401" spans="2:10" ht="15.75">
      <c r="B401" s="86"/>
      <c r="C401" s="81"/>
      <c r="D401" s="87"/>
      <c r="E401" s="87"/>
      <c r="F401" s="87"/>
      <c r="G401" s="88"/>
      <c r="H401" s="88"/>
      <c r="I401" s="89"/>
      <c r="J401" s="89"/>
    </row>
    <row r="402" spans="2:10" ht="15.75">
      <c r="B402" s="86"/>
      <c r="C402" s="81"/>
      <c r="D402" s="87"/>
      <c r="E402" s="87"/>
      <c r="F402" s="87"/>
      <c r="G402" s="88"/>
      <c r="H402" s="88"/>
      <c r="I402" s="89"/>
      <c r="J402" s="89"/>
    </row>
    <row r="403" spans="2:10" ht="15.75">
      <c r="B403" s="86"/>
      <c r="C403" s="81"/>
      <c r="D403" s="87"/>
      <c r="E403" s="87"/>
      <c r="F403" s="87"/>
      <c r="G403" s="88"/>
      <c r="H403" s="88"/>
      <c r="I403" s="89"/>
      <c r="J403" s="89"/>
    </row>
    <row r="404" spans="2:10" ht="15.75">
      <c r="B404" s="86"/>
      <c r="C404" s="81"/>
      <c r="D404" s="87"/>
      <c r="E404" s="87"/>
      <c r="F404" s="87"/>
      <c r="G404" s="88"/>
      <c r="H404" s="88"/>
      <c r="I404" s="89"/>
      <c r="J404" s="89"/>
    </row>
    <row r="405" spans="2:10" ht="15.75">
      <c r="B405" s="86"/>
      <c r="C405" s="81"/>
      <c r="D405" s="87"/>
      <c r="E405" s="87"/>
      <c r="F405" s="87"/>
      <c r="G405" s="88"/>
      <c r="H405" s="88"/>
      <c r="I405" s="89"/>
      <c r="J405" s="89"/>
    </row>
    <row r="406" spans="2:10" ht="15.75">
      <c r="B406" s="86"/>
      <c r="C406" s="81"/>
      <c r="D406" s="87"/>
      <c r="E406" s="87"/>
      <c r="F406" s="87"/>
      <c r="G406" s="88"/>
      <c r="H406" s="88"/>
      <c r="I406" s="89"/>
      <c r="J406" s="89"/>
    </row>
    <row r="407" spans="2:10" ht="15.75">
      <c r="B407" s="86"/>
      <c r="C407" s="81"/>
      <c r="D407" s="87"/>
      <c r="E407" s="87"/>
      <c r="F407" s="87"/>
      <c r="G407" s="88"/>
      <c r="H407" s="88"/>
      <c r="I407" s="89"/>
      <c r="J407" s="89"/>
    </row>
    <row r="408" spans="2:10" ht="15.75">
      <c r="B408" s="86"/>
      <c r="C408" s="81"/>
      <c r="D408" s="87"/>
      <c r="E408" s="87"/>
      <c r="F408" s="87"/>
      <c r="G408" s="88"/>
      <c r="H408" s="88"/>
      <c r="I408" s="89"/>
      <c r="J408" s="89"/>
    </row>
    <row r="409" spans="2:10" ht="15.75">
      <c r="B409" s="86"/>
      <c r="C409" s="81"/>
      <c r="D409" s="87"/>
      <c r="E409" s="87"/>
      <c r="F409" s="87"/>
      <c r="G409" s="88"/>
      <c r="H409" s="88"/>
      <c r="I409" s="89"/>
      <c r="J409" s="89"/>
    </row>
    <row r="410" spans="2:10" ht="15.75">
      <c r="B410" s="86"/>
      <c r="C410" s="81"/>
      <c r="D410" s="87"/>
      <c r="E410" s="87"/>
      <c r="F410" s="87"/>
      <c r="G410" s="88"/>
      <c r="H410" s="88"/>
      <c r="I410" s="89"/>
      <c r="J410" s="89"/>
    </row>
    <row r="411" spans="2:10" ht="15.75">
      <c r="B411" s="86"/>
      <c r="C411" s="81"/>
      <c r="D411" s="87"/>
      <c r="E411" s="87"/>
      <c r="F411" s="87"/>
      <c r="G411" s="88"/>
      <c r="H411" s="88"/>
      <c r="I411" s="89"/>
      <c r="J411" s="89"/>
    </row>
    <row r="412" spans="2:10" ht="15.75">
      <c r="B412" s="86"/>
      <c r="C412" s="81"/>
      <c r="D412" s="87"/>
      <c r="E412" s="87"/>
      <c r="F412" s="87"/>
      <c r="G412" s="88"/>
      <c r="H412" s="88"/>
      <c r="I412" s="89"/>
      <c r="J412" s="89"/>
    </row>
    <row r="413" spans="2:10" ht="15.75">
      <c r="B413" s="86"/>
      <c r="C413" s="81"/>
      <c r="D413" s="87"/>
      <c r="E413" s="87"/>
      <c r="F413" s="87"/>
      <c r="G413" s="88"/>
      <c r="H413" s="88"/>
      <c r="I413" s="89"/>
      <c r="J413" s="89"/>
    </row>
    <row r="414" spans="2:10" ht="15.75">
      <c r="B414" s="86"/>
      <c r="C414" s="81"/>
      <c r="D414" s="87"/>
      <c r="E414" s="87"/>
      <c r="F414" s="87"/>
      <c r="G414" s="88"/>
      <c r="H414" s="88"/>
      <c r="I414" s="89"/>
      <c r="J414" s="89"/>
    </row>
    <row r="415" spans="2:10" ht="15.75">
      <c r="B415" s="86"/>
      <c r="C415" s="81"/>
      <c r="D415" s="87"/>
      <c r="E415" s="87"/>
      <c r="F415" s="87"/>
      <c r="G415" s="88"/>
      <c r="H415" s="88"/>
      <c r="I415" s="89"/>
      <c r="J415" s="89"/>
    </row>
    <row r="416" spans="2:10" ht="15.75">
      <c r="B416" s="86"/>
      <c r="C416" s="81"/>
      <c r="D416" s="87"/>
      <c r="E416" s="87"/>
      <c r="F416" s="87"/>
      <c r="G416" s="88"/>
      <c r="H416" s="88"/>
      <c r="I416" s="89"/>
      <c r="J416" s="89"/>
    </row>
    <row r="417" spans="2:10" ht="15.75">
      <c r="B417" s="86"/>
      <c r="C417" s="81"/>
      <c r="D417" s="87"/>
      <c r="E417" s="87"/>
      <c r="F417" s="87"/>
      <c r="G417" s="88"/>
      <c r="H417" s="88"/>
      <c r="I417" s="89"/>
      <c r="J417" s="89"/>
    </row>
    <row r="418" spans="2:10" ht="15.75">
      <c r="B418" s="86"/>
      <c r="C418" s="81"/>
      <c r="D418" s="87"/>
      <c r="E418" s="87"/>
      <c r="F418" s="87"/>
      <c r="G418" s="88"/>
      <c r="H418" s="88"/>
      <c r="I418" s="89"/>
      <c r="J418" s="89"/>
    </row>
    <row r="419" spans="2:10" ht="15.75">
      <c r="B419" s="86"/>
      <c r="C419" s="81"/>
      <c r="D419" s="87"/>
      <c r="E419" s="87"/>
      <c r="F419" s="87"/>
      <c r="G419" s="88"/>
      <c r="H419" s="88"/>
      <c r="I419" s="89"/>
      <c r="J419" s="89"/>
    </row>
    <row r="420" spans="2:10" ht="15.75">
      <c r="B420" s="86"/>
      <c r="C420" s="81"/>
      <c r="D420" s="87"/>
      <c r="E420" s="87"/>
      <c r="F420" s="87"/>
      <c r="G420" s="88"/>
      <c r="H420" s="88"/>
      <c r="I420" s="89"/>
      <c r="J420" s="89"/>
    </row>
    <row r="421" spans="2:10" ht="15.75">
      <c r="B421" s="86"/>
      <c r="C421" s="81"/>
      <c r="D421" s="87"/>
      <c r="E421" s="87"/>
      <c r="F421" s="87"/>
      <c r="G421" s="88"/>
      <c r="H421" s="88"/>
      <c r="I421" s="89"/>
      <c r="J421" s="89"/>
    </row>
    <row r="422" spans="2:10" ht="15.75">
      <c r="B422" s="86"/>
      <c r="C422" s="81"/>
      <c r="D422" s="87"/>
      <c r="E422" s="87"/>
      <c r="F422" s="87"/>
      <c r="G422" s="88"/>
      <c r="H422" s="88"/>
      <c r="I422" s="89"/>
      <c r="J422" s="89"/>
    </row>
    <row r="423" spans="2:10" ht="15.75">
      <c r="B423" s="86"/>
      <c r="C423" s="81"/>
      <c r="D423" s="87"/>
      <c r="E423" s="87"/>
      <c r="F423" s="87"/>
      <c r="G423" s="88"/>
      <c r="H423" s="88"/>
      <c r="I423" s="89"/>
      <c r="J423" s="89"/>
    </row>
    <row r="424" spans="2:10" ht="15.75">
      <c r="B424" s="86"/>
      <c r="C424" s="81"/>
      <c r="D424" s="87"/>
      <c r="E424" s="87"/>
      <c r="F424" s="87"/>
      <c r="G424" s="88"/>
      <c r="H424" s="88"/>
      <c r="I424" s="89"/>
      <c r="J424" s="89"/>
    </row>
    <row r="425" spans="2:10" ht="15.75">
      <c r="B425" s="86"/>
      <c r="C425" s="81"/>
      <c r="D425" s="87"/>
      <c r="E425" s="87"/>
      <c r="F425" s="87"/>
      <c r="G425" s="88"/>
      <c r="H425" s="88"/>
      <c r="I425" s="89"/>
      <c r="J425" s="89"/>
    </row>
    <row r="426" spans="2:10" ht="15.75">
      <c r="B426" s="86"/>
      <c r="C426" s="81"/>
      <c r="D426" s="87"/>
      <c r="E426" s="87"/>
      <c r="F426" s="87"/>
      <c r="G426" s="88"/>
      <c r="H426" s="88"/>
      <c r="I426" s="89"/>
      <c r="J426" s="89"/>
    </row>
    <row r="427" spans="2:10" ht="15.75">
      <c r="B427" s="86"/>
      <c r="C427" s="81"/>
      <c r="D427" s="87"/>
      <c r="E427" s="87"/>
      <c r="F427" s="87"/>
      <c r="G427" s="88"/>
      <c r="H427" s="88"/>
      <c r="I427" s="89"/>
      <c r="J427" s="89"/>
    </row>
    <row r="428" spans="2:10" ht="15.75">
      <c r="B428" s="86"/>
      <c r="C428" s="81"/>
      <c r="D428" s="87"/>
      <c r="E428" s="87"/>
      <c r="F428" s="87"/>
      <c r="G428" s="88"/>
      <c r="H428" s="88"/>
      <c r="I428" s="89"/>
      <c r="J428" s="89"/>
    </row>
    <row r="429" spans="2:10" ht="15.75">
      <c r="B429" s="86"/>
      <c r="C429" s="81"/>
      <c r="D429" s="87"/>
      <c r="E429" s="87"/>
      <c r="F429" s="87"/>
      <c r="G429" s="88"/>
      <c r="H429" s="88"/>
      <c r="I429" s="89"/>
      <c r="J429" s="89"/>
    </row>
    <row r="430" spans="2:10" ht="15.75">
      <c r="B430" s="86"/>
      <c r="C430" s="81"/>
      <c r="D430" s="87"/>
      <c r="E430" s="87"/>
      <c r="F430" s="87"/>
      <c r="G430" s="88"/>
      <c r="H430" s="88"/>
      <c r="I430" s="89"/>
      <c r="J430" s="89"/>
    </row>
    <row r="431" spans="2:10" ht="15.75">
      <c r="B431" s="86"/>
      <c r="C431" s="81"/>
      <c r="D431" s="87"/>
      <c r="E431" s="87"/>
      <c r="F431" s="87"/>
      <c r="G431" s="88"/>
      <c r="H431" s="88"/>
      <c r="I431" s="89"/>
      <c r="J431" s="89"/>
    </row>
    <row r="432" spans="2:10" ht="15.75">
      <c r="B432" s="86"/>
      <c r="C432" s="81"/>
      <c r="D432" s="87"/>
      <c r="E432" s="87"/>
      <c r="F432" s="87"/>
      <c r="G432" s="88"/>
      <c r="H432" s="88"/>
      <c r="I432" s="89"/>
      <c r="J432" s="89"/>
    </row>
    <row r="433" spans="2:10" ht="15.75">
      <c r="B433" s="86"/>
      <c r="C433" s="81"/>
      <c r="D433" s="87"/>
      <c r="E433" s="87"/>
      <c r="F433" s="87"/>
      <c r="G433" s="88"/>
      <c r="H433" s="88"/>
      <c r="I433" s="89"/>
      <c r="J433" s="89"/>
    </row>
    <row r="434" spans="2:10" ht="15.75">
      <c r="B434" s="86"/>
      <c r="C434" s="81"/>
      <c r="D434" s="87"/>
      <c r="E434" s="87"/>
      <c r="F434" s="87"/>
      <c r="G434" s="88"/>
      <c r="H434" s="88"/>
      <c r="I434" s="89"/>
      <c r="J434" s="89"/>
    </row>
    <row r="435" spans="2:10" ht="15.75">
      <c r="B435" s="86"/>
      <c r="C435" s="81"/>
      <c r="D435" s="87"/>
      <c r="E435" s="87"/>
      <c r="F435" s="87"/>
      <c r="G435" s="88"/>
      <c r="H435" s="88"/>
      <c r="I435" s="89"/>
      <c r="J435" s="89"/>
    </row>
    <row r="436" spans="2:10" ht="15.75">
      <c r="B436" s="86"/>
      <c r="C436" s="81"/>
      <c r="D436" s="87"/>
      <c r="E436" s="87"/>
      <c r="F436" s="87"/>
      <c r="G436" s="88"/>
      <c r="H436" s="88"/>
      <c r="I436" s="89"/>
      <c r="J436" s="89"/>
    </row>
    <row r="437" spans="2:10" ht="15.75">
      <c r="B437" s="86"/>
      <c r="C437" s="81"/>
      <c r="D437" s="87"/>
      <c r="E437" s="87"/>
      <c r="F437" s="87"/>
      <c r="G437" s="88"/>
      <c r="H437" s="88"/>
      <c r="I437" s="89"/>
      <c r="J437" s="89"/>
    </row>
    <row r="438" spans="2:10" ht="15.75">
      <c r="B438" s="86"/>
      <c r="C438" s="81"/>
      <c r="D438" s="87"/>
      <c r="E438" s="87"/>
      <c r="F438" s="87"/>
      <c r="G438" s="88"/>
      <c r="H438" s="88"/>
      <c r="I438" s="89"/>
      <c r="J438" s="89"/>
    </row>
    <row r="439" spans="2:10" ht="15.75">
      <c r="B439" s="86"/>
      <c r="C439" s="81"/>
      <c r="D439" s="87"/>
      <c r="E439" s="87"/>
      <c r="F439" s="87"/>
      <c r="G439" s="88"/>
      <c r="H439" s="88"/>
      <c r="I439" s="89"/>
      <c r="J439" s="89"/>
    </row>
    <row r="440" spans="2:10" ht="15.75">
      <c r="B440" s="86"/>
      <c r="C440" s="81"/>
      <c r="D440" s="87"/>
      <c r="E440" s="87"/>
      <c r="F440" s="87"/>
      <c r="G440" s="88"/>
      <c r="H440" s="88"/>
      <c r="I440" s="89"/>
      <c r="J440" s="89"/>
    </row>
    <row r="441" spans="2:10" ht="15.75">
      <c r="B441" s="86"/>
      <c r="C441" s="81"/>
      <c r="D441" s="87"/>
      <c r="E441" s="87"/>
      <c r="F441" s="87"/>
      <c r="G441" s="88"/>
      <c r="H441" s="88"/>
      <c r="I441" s="89"/>
      <c r="J441" s="89"/>
    </row>
    <row r="442" spans="2:10" ht="15.75">
      <c r="B442" s="86"/>
      <c r="C442" s="81"/>
      <c r="D442" s="87"/>
      <c r="E442" s="87"/>
      <c r="F442" s="87"/>
      <c r="G442" s="88"/>
      <c r="H442" s="88"/>
      <c r="I442" s="89"/>
      <c r="J442" s="89"/>
    </row>
    <row r="443" spans="2:10" ht="15.75">
      <c r="B443" s="86"/>
      <c r="C443" s="81"/>
      <c r="D443" s="87"/>
      <c r="E443" s="87"/>
      <c r="F443" s="87"/>
      <c r="G443" s="88"/>
      <c r="H443" s="88"/>
      <c r="I443" s="89"/>
      <c r="J443" s="89"/>
    </row>
    <row r="444" spans="2:10" ht="15.75">
      <c r="B444" s="86"/>
      <c r="C444" s="81"/>
      <c r="D444" s="87"/>
      <c r="E444" s="87"/>
      <c r="F444" s="87"/>
      <c r="G444" s="88"/>
      <c r="H444" s="88"/>
      <c r="I444" s="89"/>
      <c r="J444" s="89"/>
    </row>
    <row r="445" spans="2:10" ht="15.75">
      <c r="B445" s="86"/>
      <c r="C445" s="81"/>
      <c r="D445" s="87"/>
      <c r="E445" s="87"/>
      <c r="F445" s="87"/>
      <c r="G445" s="88"/>
      <c r="H445" s="88"/>
      <c r="I445" s="89"/>
      <c r="J445" s="89"/>
    </row>
    <row r="446" spans="2:10" ht="15.75">
      <c r="B446" s="86"/>
      <c r="C446" s="81"/>
      <c r="D446" s="87"/>
      <c r="E446" s="87"/>
      <c r="F446" s="87"/>
      <c r="G446" s="88"/>
      <c r="H446" s="88"/>
      <c r="I446" s="89"/>
      <c r="J446" s="89"/>
    </row>
    <row r="447" spans="2:10" ht="15.75">
      <c r="B447" s="86"/>
      <c r="C447" s="81"/>
      <c r="D447" s="87"/>
      <c r="E447" s="87"/>
      <c r="F447" s="87"/>
      <c r="G447" s="88"/>
      <c r="H447" s="88"/>
      <c r="I447" s="89"/>
      <c r="J447" s="89"/>
    </row>
    <row r="448" spans="2:10" ht="15.75">
      <c r="B448" s="86"/>
      <c r="C448" s="81"/>
      <c r="D448" s="87"/>
      <c r="E448" s="87"/>
      <c r="F448" s="87"/>
      <c r="G448" s="88"/>
      <c r="H448" s="88"/>
      <c r="I448" s="89"/>
      <c r="J448" s="89"/>
    </row>
    <row r="449" spans="2:10" ht="15.75">
      <c r="B449" s="86"/>
      <c r="C449" s="81"/>
      <c r="D449" s="87"/>
      <c r="E449" s="87"/>
      <c r="F449" s="87"/>
      <c r="G449" s="88"/>
      <c r="H449" s="88"/>
      <c r="I449" s="89"/>
      <c r="J449" s="89"/>
    </row>
    <row r="450" spans="2:10" ht="15.75">
      <c r="B450" s="86"/>
      <c r="C450" s="81"/>
      <c r="D450" s="87"/>
      <c r="E450" s="87"/>
      <c r="F450" s="87"/>
      <c r="G450" s="88"/>
      <c r="H450" s="88"/>
      <c r="I450" s="89"/>
      <c r="J450" s="89"/>
    </row>
    <row r="451" spans="2:10" ht="15.75">
      <c r="B451" s="86"/>
      <c r="C451" s="81"/>
      <c r="D451" s="87"/>
      <c r="E451" s="87"/>
      <c r="F451" s="87"/>
      <c r="G451" s="88"/>
      <c r="H451" s="88"/>
      <c r="I451" s="89"/>
      <c r="J451" s="89"/>
    </row>
    <row r="452" spans="2:10" ht="15.75">
      <c r="B452" s="86"/>
      <c r="C452" s="81"/>
      <c r="D452" s="87"/>
      <c r="E452" s="87"/>
      <c r="F452" s="87"/>
      <c r="G452" s="88"/>
      <c r="H452" s="88"/>
      <c r="I452" s="89"/>
      <c r="J452" s="89"/>
    </row>
    <row r="453" spans="2:10" ht="15.75">
      <c r="B453" s="86"/>
      <c r="C453" s="81"/>
      <c r="D453" s="87"/>
      <c r="E453" s="87"/>
      <c r="F453" s="87"/>
      <c r="G453" s="88"/>
      <c r="H453" s="88"/>
      <c r="I453" s="89"/>
      <c r="J453" s="89"/>
    </row>
    <row r="454" spans="2:10" ht="15.75">
      <c r="B454" s="86"/>
      <c r="C454" s="81"/>
      <c r="D454" s="87"/>
      <c r="E454" s="87"/>
      <c r="F454" s="87"/>
      <c r="G454" s="88"/>
      <c r="H454" s="88"/>
      <c r="I454" s="89"/>
      <c r="J454" s="89"/>
    </row>
  </sheetData>
  <mergeCells count="59">
    <mergeCell ref="A172:A182"/>
    <mergeCell ref="B172:B182"/>
    <mergeCell ref="A145:A150"/>
    <mergeCell ref="B145:B150"/>
    <mergeCell ref="A188:A189"/>
    <mergeCell ref="B188:B189"/>
    <mergeCell ref="A151:A157"/>
    <mergeCell ref="B151:B157"/>
    <mergeCell ref="A158:A164"/>
    <mergeCell ref="B158:B164"/>
    <mergeCell ref="A165:A171"/>
    <mergeCell ref="B165:B171"/>
    <mergeCell ref="A125:A133"/>
    <mergeCell ref="B125:B133"/>
    <mergeCell ref="A134:A144"/>
    <mergeCell ref="B134:B144"/>
    <mergeCell ref="A110:A116"/>
    <mergeCell ref="B110:B116"/>
    <mergeCell ref="A117:A124"/>
    <mergeCell ref="B117:B124"/>
    <mergeCell ref="A92:A101"/>
    <mergeCell ref="B92:B101"/>
    <mergeCell ref="A102:A109"/>
    <mergeCell ref="B102:B109"/>
    <mergeCell ref="A71:A81"/>
    <mergeCell ref="B71:B81"/>
    <mergeCell ref="A82:A91"/>
    <mergeCell ref="B82:B91"/>
    <mergeCell ref="A58:A65"/>
    <mergeCell ref="B58:B65"/>
    <mergeCell ref="A66:A70"/>
    <mergeCell ref="B66:B70"/>
    <mergeCell ref="A43:A45"/>
    <mergeCell ref="B43:B45"/>
    <mergeCell ref="A46:A57"/>
    <mergeCell ref="B46:B57"/>
    <mergeCell ref="A31:A37"/>
    <mergeCell ref="B31:B37"/>
    <mergeCell ref="A38:A42"/>
    <mergeCell ref="B38:B42"/>
    <mergeCell ref="K5:K6"/>
    <mergeCell ref="L5:L6"/>
    <mergeCell ref="A5:A6"/>
    <mergeCell ref="A22:A30"/>
    <mergeCell ref="B22:B30"/>
    <mergeCell ref="A7:A21"/>
    <mergeCell ref="B7:B21"/>
    <mergeCell ref="I5:I6"/>
    <mergeCell ref="J5:J6"/>
    <mergeCell ref="F5:F6"/>
    <mergeCell ref="H5:H6"/>
    <mergeCell ref="A3:O3"/>
    <mergeCell ref="B5:B6"/>
    <mergeCell ref="C5:C6"/>
    <mergeCell ref="D5:D6"/>
    <mergeCell ref="E5:E6"/>
    <mergeCell ref="M5:M6"/>
    <mergeCell ref="N5:N6"/>
    <mergeCell ref="O5:O6"/>
  </mergeCells>
  <printOptions/>
  <pageMargins left="0.77" right="0.31" top="0.18" bottom="0.22" header="0.18" footer="0.17"/>
  <pageSetup fitToHeight="8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perm</cp:lastModifiedBy>
  <cp:lastPrinted>2009-01-19T09:04:06Z</cp:lastPrinted>
  <dcterms:created xsi:type="dcterms:W3CDTF">2009-01-15T13:37:30Z</dcterms:created>
  <dcterms:modified xsi:type="dcterms:W3CDTF">2009-01-19T09:04:07Z</dcterms:modified>
  <cp:category/>
  <cp:version/>
  <cp:contentType/>
  <cp:contentStatus/>
</cp:coreProperties>
</file>