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01.09.24" sheetId="1" state="visible" r:id="rId1"/>
  </sheets>
  <definedNames>
    <definedName name="_xlnm._FilterDatabase" localSheetId="0" hidden="1">'01.09.24'!$A$4:$R$85</definedName>
    <definedName name="Print_Titles" localSheetId="0" hidden="0">'01.09.24'!$3:$4</definedName>
    <definedName name="_xlnm.Print_Area" localSheetId="0">'01.09.24'!$A$1:$R$83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'01.09.24'!$A$4:$R$85</definedName>
  </definedNames>
  <calcPr/>
</workbook>
</file>

<file path=xl/sharedStrings.xml><?xml version="1.0" encoding="utf-8"?>
<sst xmlns="http://schemas.openxmlformats.org/spreadsheetml/2006/main" count="169" uniqueCount="169">
  <si>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</si>
  <si>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</si>
  <si>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</si>
  <si>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</si>
  <si>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</si>
  <si>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</si>
  <si>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31.08.2023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</si>
  <si>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</si>
  <si>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</si>
  <si>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</si>
  <si>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</si>
  <si>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</si>
  <si>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</si>
  <si>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</si>
  <si>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 (c учетом август. Думы)</t>
  </si>
  <si>
    <t xml:space="preserve">Январь - Август</t>
  </si>
  <si>
    <t>Август</t>
  </si>
  <si>
    <t xml:space="preserve">с нач. года на 01.09.2024 (по 31.08.2024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</si>
  <si>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</si>
  <si>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</si>
  <si>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</si>
  <si>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август от плана августа</t>
  </si>
  <si>
    <t xml:space="preserve">НАЛОГОВЫЕ ДОХОДЫ</t>
  </si>
  <si>
    <t>182</t>
  </si>
  <si>
    <t>ДЭиП</t>
  </si>
  <si>
    <t xml:space="preserve">1 01 02000 01 0000 110</t>
  </si>
  <si>
    <t>НДФЛ</t>
  </si>
  <si>
    <t>УВБ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</si>
  <si>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</si>
  <si>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</si>
  <si>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</si>
  <si>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</si>
  <si>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</si>
  <si>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</si>
  <si>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</si>
  <si>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</si>
  <si>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</si>
  <si>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</si>
  <si>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</si>
  <si>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</si>
  <si>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</si>
  <si>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</si>
  <si>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</si>
  <si>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</si>
  <si>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</si>
  <si>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</si>
  <si>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</si>
  <si>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</si>
  <si>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</si>
  <si>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</si>
  <si>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</si>
  <si>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</si>
  <si>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</si>
  <si>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</si>
  <si>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</si>
  <si>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</si>
  <si>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</si>
  <si>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>ДДиБ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</si>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</sst>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</numFmts>
  <fonts count="19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color indexed="2"/>
      <name val="Arial Cyr"/>
    </font>
    <font>
      <sz val="10.000000"/>
      <color indexed="2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color indexed="2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color indexed="2"/>
      <name val="Times New Roman"/>
    </font>
    <font>
      <i/>
      <sz val="12.000000"/>
      <name val="Times New Roman"/>
    </font>
    <font>
      <i/>
      <sz val="8.000000"/>
      <color indexed="2"/>
      <name val="Times New Roman"/>
    </font>
    <font>
      <sz val="10.000000"/>
      <name val="Times New Roman"/>
    </font>
    <font>
      <sz val="8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5">
    <xf fontId="0" fillId="0" borderId="0" numFmtId="0" xfId="0"/>
    <xf fontId="0" fillId="0" borderId="0" numFmtId="0" xfId="0"/>
    <xf fontId="5" fillId="0" borderId="0" numFmtId="0" xfId="0" applyFont="1"/>
    <xf fontId="6" fillId="0" borderId="0" numFmtId="4" xfId="0" applyNumberFormat="1" applyFont="1"/>
    <xf fontId="0" fillId="0" borderId="0" numFmtId="162" xfId="0" applyNumberFormat="1"/>
    <xf fontId="0" fillId="0" borderId="0" numFmtId="163" xfId="0" applyNumberFormat="1"/>
    <xf fontId="7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top" wrapText="1"/>
    </xf>
    <xf fontId="7" fillId="0" borderId="0" numFmtId="162" xfId="0" applyNumberFormat="1" applyFont="1" applyAlignment="1">
      <alignment horizontal="center" vertical="top" wrapText="1"/>
    </xf>
    <xf fontId="9" fillId="0" borderId="0" numFmtId="49" xfId="0" applyNumberFormat="1" applyFont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10" fillId="0" borderId="0" numFmtId="0" xfId="0" applyFont="1" applyAlignment="1">
      <alignment horizontal="center" vertical="center" wrapText="1"/>
    </xf>
    <xf fontId="9" fillId="0" borderId="1" numFmtId="0" xfId="0" applyFont="1" applyBorder="1" applyAlignment="1">
      <alignment horizontal="right" wrapText="1"/>
    </xf>
    <xf fontId="11" fillId="0" borderId="1" numFmtId="162" xfId="0" applyNumberFormat="1" applyFont="1" applyBorder="1" applyAlignment="1">
      <alignment horizontal="center" wrapText="1"/>
    </xf>
    <xf fontId="11" fillId="0" borderId="1" numFmtId="164" xfId="126" applyNumberFormat="1" applyFont="1" applyBorder="1" applyAlignment="1">
      <alignment horizontal="center" wrapText="1"/>
    </xf>
    <xf fontId="9" fillId="0" borderId="0" numFmtId="0" xfId="0" applyFont="1" applyAlignment="1">
      <alignment horizontal="right"/>
    </xf>
    <xf fontId="9" fillId="0" borderId="2" numFmtId="49" xfId="0" applyNumberFormat="1" applyFont="1" applyBorder="1" applyAlignment="1">
      <alignment horizontal="center" vertical="top" wrapText="1"/>
    </xf>
    <xf fontId="9" fillId="0" borderId="2" numFmtId="0" xfId="0" applyFont="1" applyBorder="1" applyAlignment="1">
      <alignment horizontal="center" vertical="top" wrapText="1"/>
    </xf>
    <xf fontId="10" fillId="0" borderId="3" numFmtId="49" xfId="0" applyNumberFormat="1" applyFont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9" fillId="0" borderId="3" numFmtId="4" xfId="0" applyNumberFormat="1" applyFont="1" applyBorder="1" applyAlignment="1">
      <alignment horizontal="center" vertical="center" wrapText="1"/>
    </xf>
    <xf fontId="9" fillId="0" borderId="4" numFmtId="162" xfId="0" applyNumberFormat="1" applyFont="1" applyBorder="1" applyAlignment="1">
      <alignment horizontal="center" vertical="center" wrapText="1"/>
    </xf>
    <xf fontId="9" fillId="0" borderId="5" numFmtId="162" xfId="0" applyNumberFormat="1" applyFont="1" applyBorder="1" applyAlignment="1">
      <alignment horizontal="center" vertical="center" wrapText="1"/>
    </xf>
    <xf fontId="9" fillId="0" borderId="6" numFmtId="162" xfId="0" applyNumberFormat="1" applyFont="1" applyBorder="1" applyAlignment="1">
      <alignment horizontal="center" vertical="center" wrapText="1"/>
    </xf>
    <xf fontId="9" fillId="0" borderId="4" numFmtId="163" xfId="0" applyNumberFormat="1" applyFont="1" applyBorder="1" applyAlignment="1">
      <alignment horizontal="center" vertical="center" wrapText="1"/>
    </xf>
    <xf fontId="9" fillId="0" borderId="6" numFmtId="163" xfId="0" applyNumberFormat="1" applyFont="1" applyBorder="1" applyAlignment="1">
      <alignment horizontal="center" vertical="center" wrapText="1"/>
    </xf>
    <xf fontId="9" fillId="0" borderId="5" numFmtId="163" xfId="0" applyNumberFormat="1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2" numFmtId="9" xfId="127" applyNumberFormat="1" applyFont="1" applyBorder="1" applyAlignment="1" applyProtection="1">
      <alignment horizontal="center" vertical="top" wrapText="1"/>
    </xf>
    <xf fontId="9" fillId="0" borderId="3" numFmtId="9" xfId="127" applyNumberFormat="1" applyFont="1" applyBorder="1" applyAlignment="1" applyProtection="1">
      <alignment horizontal="center" vertical="top" wrapText="1"/>
    </xf>
    <xf fontId="10" fillId="0" borderId="7" numFmtId="49" xfId="0" applyNumberFormat="1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7" numFmtId="4" xfId="0" applyNumberFormat="1" applyFont="1" applyBorder="1" applyAlignment="1">
      <alignment horizontal="center" vertical="center" wrapText="1"/>
    </xf>
    <xf fontId="9" fillId="0" borderId="3" numFmtId="162" xfId="0" applyNumberFormat="1" applyFont="1" applyBorder="1" applyAlignment="1">
      <alignment horizontal="center" vertical="center" wrapText="1"/>
    </xf>
    <xf fontId="9" fillId="0" borderId="3" numFmtId="163" xfId="0" applyNumberFormat="1" applyFont="1" applyBorder="1" applyAlignment="1">
      <alignment horizontal="center" vertical="center" wrapText="1"/>
    </xf>
    <xf fontId="9" fillId="0" borderId="7" numFmtId="9" xfId="127" applyNumberFormat="1" applyFont="1" applyBorder="1" applyAlignment="1" applyProtection="1">
      <alignment horizontal="center" vertical="top" wrapText="1"/>
    </xf>
    <xf fontId="12" fillId="0" borderId="0" numFmtId="0" xfId="0" applyFont="1"/>
    <xf fontId="13" fillId="0" borderId="2" numFmtId="49" xfId="0" applyNumberFormat="1" applyFont="1" applyBorder="1" applyAlignment="1">
      <alignment horizontal="center" vertical="center" wrapText="1"/>
    </xf>
    <xf fontId="13" fillId="0" borderId="2" numFmtId="0" xfId="0" applyFont="1" applyBorder="1" applyAlignment="1">
      <alignment horizontal="center" vertical="center" wrapText="1"/>
    </xf>
    <xf fontId="14" fillId="0" borderId="2" numFmtId="49" xfId="0" applyNumberFormat="1" applyFont="1" applyBorder="1" applyAlignment="1">
      <alignment horizontal="center" vertical="center" wrapText="1"/>
    </xf>
    <xf fontId="13" fillId="0" borderId="2" numFmtId="0" xfId="0" applyFont="1" applyBorder="1" applyAlignment="1">
      <alignment vertical="center" wrapText="1"/>
    </xf>
    <xf fontId="13" fillId="0" borderId="2" numFmtId="162" xfId="0" applyNumberFormat="1" applyFont="1" applyBorder="1" applyAlignment="1">
      <alignment horizontal="right" vertical="center" wrapText="1"/>
    </xf>
    <xf fontId="13" fillId="0" borderId="2" numFmtId="164" xfId="0" applyNumberFormat="1" applyFont="1" applyBorder="1" applyAlignment="1">
      <alignment horizontal="right" vertical="center" wrapText="1"/>
    </xf>
    <xf fontId="12" fillId="0" borderId="0" numFmtId="4" xfId="0" applyNumberFormat="1" applyFont="1"/>
    <xf fontId="9" fillId="0" borderId="3" numFmtId="49" xfId="0" applyNumberFormat="1" applyFont="1" applyBorder="1" applyAlignment="1">
      <alignment horizontal="center" vertical="top" wrapText="1"/>
    </xf>
    <xf fontId="10" fillId="0" borderId="2" numFmtId="49" xfId="0" applyNumberFormat="1" applyFont="1" applyBorder="1" applyAlignment="1">
      <alignment horizontal="center" vertical="center" wrapText="1"/>
    </xf>
    <xf fontId="9" fillId="0" borderId="2" numFmtId="0" xfId="0" applyFont="1" applyBorder="1" applyAlignment="1">
      <alignment vertical="top" wrapText="1"/>
    </xf>
    <xf fontId="9" fillId="0" borderId="2" numFmtId="162" xfId="0" applyNumberFormat="1" applyFont="1" applyBorder="1" applyAlignment="1">
      <alignment horizontal="right" vertical="center" wrapText="1"/>
    </xf>
    <xf fontId="9" fillId="0" borderId="2" numFmtId="164" xfId="0" applyNumberFormat="1" applyFont="1" applyBorder="1" applyAlignment="1">
      <alignment horizontal="right" vertical="center" wrapText="1"/>
    </xf>
    <xf fontId="0" fillId="0" borderId="0" numFmtId="4" xfId="0" applyNumberFormat="1"/>
    <xf fontId="9" fillId="0" borderId="8" numFmtId="49" xfId="0" applyNumberFormat="1" applyFont="1" applyBorder="1" applyAlignment="1">
      <alignment horizontal="center" vertical="top" wrapText="1"/>
    </xf>
    <xf fontId="9" fillId="0" borderId="2" numFmtId="162" xfId="0" applyNumberFormat="1" applyFont="1" applyBorder="1" applyAlignment="1">
      <alignment vertical="center" wrapText="1"/>
    </xf>
    <xf fontId="9" fillId="0" borderId="7" numFmtId="49" xfId="0" applyNumberFormat="1" applyFont="1" applyBorder="1" applyAlignment="1">
      <alignment horizontal="center" vertical="top" wrapText="1"/>
    </xf>
    <xf fontId="15" fillId="0" borderId="2" numFmtId="0" xfId="0" applyFont="1" applyBorder="1" applyAlignment="1">
      <alignment horizontal="center" vertical="top" wrapText="1"/>
    </xf>
    <xf fontId="16" fillId="0" borderId="2" numFmtId="49" xfId="0" applyNumberFormat="1" applyFont="1" applyBorder="1" applyAlignment="1">
      <alignment horizontal="center" vertical="center" wrapText="1"/>
    </xf>
    <xf fontId="15" fillId="0" borderId="2" numFmtId="0" xfId="0" applyFont="1" applyBorder="1" applyAlignment="1">
      <alignment vertical="top" wrapText="1"/>
    </xf>
    <xf fontId="15" fillId="0" borderId="2" numFmtId="162" xfId="0" applyNumberFormat="1" applyFont="1" applyBorder="1" applyAlignment="1">
      <alignment vertical="center" wrapText="1"/>
    </xf>
    <xf fontId="15" fillId="0" borderId="2" numFmtId="164" xfId="0" applyNumberFormat="1" applyFont="1" applyBorder="1" applyAlignment="1">
      <alignment horizontal="right" vertical="center" wrapText="1"/>
    </xf>
    <xf fontId="9" fillId="0" borderId="2" numFmtId="49" xfId="0" applyNumberFormat="1" applyFont="1" applyBorder="1" applyAlignment="1">
      <alignment horizontal="center" wrapText="1"/>
    </xf>
    <xf fontId="9" fillId="0" borderId="2" numFmtId="0" xfId="0" applyFont="1" applyBorder="1" applyAlignment="1">
      <alignment horizontal="center" wrapText="1"/>
    </xf>
    <xf fontId="10" fillId="0" borderId="2" numFmtId="49" xfId="0" applyNumberFormat="1" applyFont="1" applyBorder="1" applyAlignment="1">
      <alignment horizontal="center" wrapText="1"/>
    </xf>
    <xf fontId="9" fillId="0" borderId="2" numFmtId="0" xfId="0" applyFont="1" applyBorder="1" applyAlignment="1">
      <alignment wrapText="1"/>
    </xf>
    <xf fontId="9" fillId="0" borderId="2" numFmtId="162" xfId="0" applyNumberFormat="1" applyFont="1" applyBorder="1" applyAlignment="1">
      <alignment horizontal="right" wrapText="1"/>
    </xf>
    <xf fontId="9" fillId="0" borderId="2" numFmtId="164" xfId="0" applyNumberFormat="1" applyFont="1" applyBorder="1" applyAlignment="1">
      <alignment horizontal="right" wrapText="1"/>
    </xf>
    <xf fontId="9" fillId="0" borderId="3" numFmtId="0" xfId="0" applyFont="1" applyBorder="1" applyAlignment="1">
      <alignment horizontal="center" vertical="top" wrapText="1"/>
    </xf>
    <xf fontId="13" fillId="0" borderId="2" numFmtId="49" xfId="0" applyNumberFormat="1" applyFont="1" applyBorder="1" applyAlignment="1">
      <alignment horizontal="center" vertical="top" wrapText="1"/>
    </xf>
    <xf fontId="13" fillId="0" borderId="2" numFmtId="165" xfId="0" applyNumberFormat="1" applyFont="1" applyBorder="1" applyAlignment="1">
      <alignment vertical="center" wrapText="1"/>
    </xf>
    <xf fontId="10" fillId="0" borderId="2" numFmtId="0" xfId="0" applyFont="1" applyBorder="1" applyAlignment="1">
      <alignment horizontal="center" vertical="center"/>
    </xf>
    <xf fontId="9" fillId="0" borderId="2" numFmtId="165" xfId="0" applyNumberFormat="1" applyFont="1" applyBorder="1" applyAlignment="1">
      <alignment vertical="top" wrapText="1"/>
    </xf>
    <xf fontId="9" fillId="0" borderId="8" numFmtId="0" xfId="0" applyFont="1" applyBorder="1" applyAlignment="1">
      <alignment horizontal="center" vertical="top" wrapText="1"/>
    </xf>
    <xf fontId="9" fillId="0" borderId="7" numFmtId="0" xfId="0" applyFont="1" applyBorder="1" applyAlignment="1">
      <alignment horizontal="center" vertical="top" wrapText="1"/>
    </xf>
    <xf fontId="15" fillId="0" borderId="2" numFmtId="162" xfId="0" applyNumberFormat="1" applyFont="1" applyBorder="1" applyAlignment="1">
      <alignment horizontal="right" wrapText="1"/>
    </xf>
    <xf fontId="15" fillId="0" borderId="2" numFmtId="164" xfId="0" applyNumberFormat="1" applyFont="1" applyBorder="1" applyAlignment="1">
      <alignment horizontal="right" wrapText="1"/>
    </xf>
    <xf fontId="10" fillId="0" borderId="2" numFmtId="0" xfId="0" applyFont="1" applyBorder="1" applyAlignment="1">
      <alignment horizontal="center" vertical="center" wrapText="1"/>
    </xf>
    <xf fontId="9" fillId="0" borderId="2" numFmtId="0" xfId="0" applyFont="1" applyBorder="1" applyAlignment="1">
      <alignment horizontal="left" vertical="center" wrapText="1"/>
    </xf>
    <xf fontId="9" fillId="0" borderId="2" numFmtId="165" xfId="0" applyNumberFormat="1" applyFont="1" applyBorder="1" applyAlignment="1">
      <alignment horizontal="left" vertical="center" wrapText="1"/>
    </xf>
    <xf fontId="15" fillId="0" borderId="2" numFmtId="165" xfId="0" applyNumberFormat="1" applyFont="1" applyBorder="1" applyAlignment="1">
      <alignment vertical="top" wrapText="1"/>
    </xf>
    <xf fontId="9" fillId="0" borderId="2" numFmtId="165" xfId="0" applyNumberFormat="1" applyFont="1" applyBorder="1" applyAlignment="1">
      <alignment horizontal="left" vertical="top" wrapText="1"/>
    </xf>
    <xf fontId="9" fillId="0" borderId="2" numFmtId="0" xfId="0" applyFont="1" applyBorder="1" applyAlignment="1">
      <alignment horizontal="left" vertical="top" wrapText="1"/>
    </xf>
    <xf fontId="14" fillId="0" borderId="2" numFmtId="0" xfId="0" applyFont="1" applyBorder="1" applyAlignment="1">
      <alignment horizontal="center" vertical="center" wrapText="1"/>
    </xf>
    <xf fontId="13" fillId="0" borderId="2" numFmtId="0" xfId="0" applyFont="1" applyBorder="1" applyAlignment="1">
      <alignment horizontal="left" vertical="center" wrapText="1"/>
    </xf>
    <xf fontId="13" fillId="0" borderId="2" numFmtId="162" xfId="0" applyNumberFormat="1" applyFont="1" applyBorder="1" applyAlignment="1">
      <alignment horizontal="right" wrapText="1"/>
    </xf>
    <xf fontId="13" fillId="0" borderId="2" numFmtId="164" xfId="0" applyNumberFormat="1" applyFont="1" applyBorder="1" applyAlignment="1">
      <alignment horizontal="right" wrapText="1"/>
    </xf>
    <xf fontId="15" fillId="0" borderId="2" numFmtId="0" xfId="0" applyFont="1" applyBorder="1" applyAlignment="1">
      <alignment horizontal="left" vertical="center" wrapText="1"/>
    </xf>
    <xf fontId="15" fillId="2" borderId="2" numFmtId="162" xfId="0" applyNumberFormat="1" applyFont="1" applyFill="1" applyBorder="1" applyAlignment="1">
      <alignment horizontal="right" wrapText="1"/>
    </xf>
    <xf fontId="10" fillId="0" borderId="2" numFmtId="0" xfId="0" applyFont="1" applyBorder="1" applyAlignment="1">
      <alignment horizontal="center" wrapText="1"/>
    </xf>
    <xf fontId="9" fillId="0" borderId="2" numFmtId="0" xfId="0" applyFont="1" applyBorder="1" applyAlignment="1">
      <alignment horizontal="left" wrapText="1"/>
    </xf>
    <xf fontId="16" fillId="0" borderId="3" numFmtId="49" xfId="0" applyNumberFormat="1" applyFont="1" applyBorder="1" applyAlignment="1">
      <alignment horizontal="center" vertical="center" wrapText="1"/>
    </xf>
    <xf fontId="15" fillId="0" borderId="3" numFmtId="165" xfId="0" applyNumberFormat="1" applyFont="1" applyBorder="1" applyAlignment="1">
      <alignment vertical="top" wrapText="1"/>
    </xf>
    <xf fontId="9" fillId="0" borderId="3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9" numFmtId="4" xfId="0" applyNumberFormat="1" applyFont="1" applyBorder="1" applyAlignment="1">
      <alignment horizontal="right" vertical="center" wrapText="1"/>
    </xf>
    <xf fontId="9" fillId="0" borderId="6" numFmtId="162" xfId="0" applyNumberFormat="1" applyFont="1" applyBorder="1" applyAlignment="1">
      <alignment horizontal="right" wrapText="1"/>
    </xf>
    <xf fontId="15" fillId="0" borderId="7" numFmtId="162" xfId="0" applyNumberFormat="1" applyFont="1" applyBorder="1" applyAlignment="1">
      <alignment horizontal="right" wrapText="1"/>
    </xf>
    <xf fontId="17" fillId="0" borderId="2" numFmtId="164" xfId="0" applyNumberFormat="1" applyFont="1" applyBorder="1" applyAlignment="1">
      <alignment horizontal="right" wrapText="1"/>
    </xf>
    <xf fontId="9" fillId="0" borderId="2" numFmtId="165" xfId="0" applyNumberFormat="1" applyFont="1" applyBorder="1" applyAlignment="1">
      <alignment wrapText="1"/>
    </xf>
    <xf fontId="12" fillId="0" borderId="0" numFmtId="0" xfId="0" applyFont="1" applyAlignment="1">
      <alignment vertical="center"/>
    </xf>
    <xf fontId="13" fillId="0" borderId="2" numFmtId="165" xfId="0" applyNumberFormat="1" applyFont="1" applyBorder="1" applyAlignment="1">
      <alignment horizontal="left" vertical="center" wrapText="1"/>
    </xf>
    <xf fontId="14" fillId="0" borderId="2" numFmtId="165" xfId="0" applyNumberFormat="1" applyFont="1" applyBorder="1" applyAlignment="1">
      <alignment horizontal="left" vertical="center" wrapText="1"/>
    </xf>
    <xf fontId="13" fillId="0" borderId="2" numFmtId="49" xfId="0" applyNumberFormat="1" applyFont="1" applyBorder="1" applyAlignment="1">
      <alignment vertical="center" wrapText="1"/>
    </xf>
    <xf fontId="9" fillId="0" borderId="2" numFmtId="4" xfId="0" applyNumberFormat="1" applyFont="1" applyBorder="1" applyAlignment="1">
      <alignment vertical="top" wrapText="1"/>
    </xf>
    <xf fontId="9" fillId="0" borderId="0" numFmtId="162" xfId="0" applyNumberFormat="1" applyFont="1" applyAlignment="1">
      <alignment horizontal="right" wrapText="1"/>
    </xf>
    <xf fontId="0" fillId="0" borderId="0" numFmtId="0" xfId="0" applyAlignment="1">
      <alignment horizontal="right"/>
    </xf>
    <xf fontId="13" fillId="0" borderId="8" numFmtId="49" xfId="0" applyNumberFormat="1" applyFont="1" applyBorder="1" applyAlignment="1">
      <alignment horizontal="center" vertical="top" wrapText="1"/>
    </xf>
    <xf fontId="13" fillId="0" borderId="8" numFmtId="0" xfId="0" applyFont="1" applyBorder="1" applyAlignment="1">
      <alignment horizontal="center" vertical="top" wrapText="1"/>
    </xf>
    <xf fontId="18" fillId="0" borderId="2" numFmtId="49" xfId="0" applyNumberFormat="1" applyFont="1" applyBorder="1" applyAlignment="1">
      <alignment horizontal="center" wrapText="1"/>
    </xf>
    <xf fontId="0" fillId="0" borderId="0" numFmtId="162" xfId="0" applyNumberFormat="1" applyAlignment="1">
      <alignment horizontal="right"/>
    </xf>
    <xf fontId="14" fillId="0" borderId="2" numFmtId="165" xfId="0" applyNumberFormat="1" applyFont="1" applyBorder="1" applyAlignment="1">
      <alignment horizontal="left" wrapText="1"/>
    </xf>
    <xf fontId="9" fillId="0" borderId="0" numFmtId="165" xfId="0" applyNumberFormat="1" applyFont="1" applyAlignment="1">
      <alignment horizontal="left" vertical="top"/>
    </xf>
    <xf fontId="0" fillId="0" borderId="0" numFmtId="0" xfId="0" applyAlignment="1">
      <alignment horizontal="left" vertical="top"/>
    </xf>
    <xf fontId="5" fillId="0" borderId="0" numFmtId="0" xfId="0" applyFont="1" applyAlignment="1">
      <alignment horizontal="center" vertical="center"/>
    </xf>
    <xf fontId="0" fillId="0" borderId="0" numFmtId="0" xfId="0" applyAlignment="1">
      <alignment horizontal="left"/>
    </xf>
    <xf fontId="6" fillId="0" borderId="0" numFmtId="4" xfId="0" applyNumberFormat="1" applyFont="1" applyAlignment="1">
      <alignment horizontal="left"/>
    </xf>
    <xf fontId="0" fillId="0" borderId="0" numFmtId="162" xfId="0" applyNumberFormat="1" applyAlignment="1">
      <alignment horizontal="left"/>
    </xf>
    <xf fontId="0" fillId="0" borderId="0" numFmtId="163" xfId="0" applyNumberFormat="1" applyAlignment="1">
      <alignment horizontal="left"/>
    </xf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0.7109375"/>
    <col customWidth="1" hidden="1" min="3" max="3" style="2" width="15.8515625"/>
    <col customWidth="1" min="4" max="4" style="1" width="59.28515625"/>
    <col customWidth="1" min="5" max="5" style="3" width="16.42578125"/>
    <col customWidth="1" min="6" max="6" style="1" width="18.8554687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/>
      <c r="T1"/>
      <c r="U1"/>
      <c r="V1"/>
      <c r="W1"/>
      <c r="X1"/>
      <c r="Y1"/>
    </row>
    <row r="2" ht="19.5">
      <c r="A2" s="9"/>
      <c r="B2" s="10"/>
      <c r="C2" s="11"/>
      <c r="D2" s="12"/>
      <c r="E2" s="13"/>
      <c r="F2" s="13"/>
      <c r="G2" s="13"/>
      <c r="H2" s="13"/>
      <c r="I2" s="13"/>
      <c r="J2" s="13"/>
      <c r="K2" s="13"/>
      <c r="L2" s="13"/>
      <c r="M2" s="13"/>
      <c r="N2" s="13"/>
      <c r="O2" s="14"/>
      <c r="P2" s="14"/>
      <c r="Q2" s="14"/>
      <c r="R2" s="15" t="s">
        <v>1</v>
      </c>
      <c r="S2"/>
      <c r="T2"/>
      <c r="U2"/>
      <c r="V2"/>
      <c r="W2"/>
      <c r="X2"/>
      <c r="Y2"/>
    </row>
    <row r="3" ht="20.25" customHeight="1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2"/>
      <c r="H3" s="23"/>
      <c r="I3" s="24" t="s">
        <v>8</v>
      </c>
      <c r="J3" s="25"/>
      <c r="K3" s="26"/>
      <c r="L3" s="26"/>
      <c r="M3" s="22" t="s">
        <v>9</v>
      </c>
      <c r="N3" s="23"/>
      <c r="O3" s="27" t="s">
        <v>10</v>
      </c>
      <c r="P3" s="28" t="s">
        <v>11</v>
      </c>
      <c r="Q3" s="29" t="s">
        <v>12</v>
      </c>
      <c r="R3" s="17" t="s">
        <v>13</v>
      </c>
      <c r="S3"/>
      <c r="T3"/>
      <c r="U3"/>
      <c r="V3"/>
      <c r="W3"/>
      <c r="X3"/>
      <c r="Y3"/>
    </row>
    <row r="4" ht="61.5" customHeight="1">
      <c r="A4" s="16"/>
      <c r="B4" s="17"/>
      <c r="C4" s="30"/>
      <c r="D4" s="31"/>
      <c r="E4" s="32"/>
      <c r="F4" s="33" t="s">
        <v>14</v>
      </c>
      <c r="G4" s="33" t="s">
        <v>15</v>
      </c>
      <c r="H4" s="33" t="s">
        <v>16</v>
      </c>
      <c r="I4" s="34" t="s">
        <v>17</v>
      </c>
      <c r="J4" s="33" t="s">
        <v>16</v>
      </c>
      <c r="K4" s="33" t="s">
        <v>18</v>
      </c>
      <c r="L4" s="33" t="s">
        <v>19</v>
      </c>
      <c r="M4" s="33" t="s">
        <v>20</v>
      </c>
      <c r="N4" s="33" t="s">
        <v>21</v>
      </c>
      <c r="O4" s="27"/>
      <c r="P4" s="28"/>
      <c r="Q4" s="35"/>
      <c r="R4" s="17"/>
      <c r="S4"/>
      <c r="T4"/>
      <c r="U4"/>
      <c r="V4"/>
      <c r="W4"/>
      <c r="X4"/>
      <c r="Y4"/>
      <c r="Z4"/>
    </row>
    <row r="5" s="36" customFormat="1" ht="25.5" customHeight="1">
      <c r="A5" s="37"/>
      <c r="B5" s="38"/>
      <c r="C5" s="39"/>
      <c r="D5" s="40" t="s">
        <v>22</v>
      </c>
      <c r="E5" s="41">
        <f>E16+E18+E20+E17+E19</f>
        <v>10976019.336666664</v>
      </c>
      <c r="F5" s="41">
        <f t="shared" ref="F5:J5" si="0">F16+F18+F20+F17+F19</f>
        <v>24659439.199999999</v>
      </c>
      <c r="G5" s="41">
        <f t="shared" si="0"/>
        <v>14644883.200000003</v>
      </c>
      <c r="H5" s="41">
        <f t="shared" si="0"/>
        <v>2668332.2999999998</v>
      </c>
      <c r="I5" s="41">
        <f t="shared" si="0"/>
        <v>14671849.529999999</v>
      </c>
      <c r="J5" s="41">
        <f t="shared" si="0"/>
        <v>1688803.6500000001</v>
      </c>
      <c r="K5" s="41">
        <f t="shared" ref="K5:K36" si="1">I5-E5</f>
        <v>3695830.1933333352</v>
      </c>
      <c r="L5" s="41">
        <f t="shared" ref="L5:L68" si="2">I5-G5</f>
        <v>26966.329999996349</v>
      </c>
      <c r="M5" s="41">
        <f t="shared" ref="M5:M36" si="3">I5-F5</f>
        <v>-9987589.6699999999</v>
      </c>
      <c r="N5" s="41">
        <f t="shared" ref="N5:N36" si="4">J5-H5</f>
        <v>-979528.64999999967</v>
      </c>
      <c r="O5" s="42">
        <f t="shared" ref="O5:O36" si="5">IFERROR(I5/E5,"")</f>
        <v>1.3367186299487452</v>
      </c>
      <c r="P5" s="42">
        <f t="shared" ref="P5:P36" si="6">IFERROR(J5/H5,"")</f>
        <v>0.63290604772126779</v>
      </c>
      <c r="Q5" s="42">
        <f t="shared" ref="Q5:Q68" si="7">IFERROR(I5/G5,"")</f>
        <v>1.0018413482464645</v>
      </c>
      <c r="R5" s="42">
        <f t="shared" ref="R5:R44" si="8">IFERROR(I5/F5,"")</f>
        <v>0.59497904275130475</v>
      </c>
      <c r="S5" s="1"/>
      <c r="T5" s="43"/>
      <c r="U5" s="36"/>
      <c r="V5" s="36"/>
      <c r="W5" s="36"/>
      <c r="X5" s="36"/>
      <c r="Y5" s="36"/>
      <c r="Z5" s="36"/>
    </row>
    <row r="6" ht="18" customHeight="1">
      <c r="A6" s="44" t="s">
        <v>23</v>
      </c>
      <c r="B6" s="17" t="s">
        <v>24</v>
      </c>
      <c r="C6" s="45" t="s">
        <v>25</v>
      </c>
      <c r="D6" s="46" t="s">
        <v>26</v>
      </c>
      <c r="E6" s="47">
        <v>8604007.1499999985</v>
      </c>
      <c r="F6" s="47">
        <f>17657445.4+116363.3+488343.7+1028959</f>
        <v>19291111.399999999</v>
      </c>
      <c r="G6" s="47">
        <f>10607692.3+1028959</f>
        <v>11636651.300000001</v>
      </c>
      <c r="H6" s="47">
        <f>1532606+1028959</f>
        <v>2561565</v>
      </c>
      <c r="I6" s="47">
        <v>11715589.32</v>
      </c>
      <c r="J6" s="47">
        <v>1608316.0200000003</v>
      </c>
      <c r="K6" s="47">
        <f t="shared" si="1"/>
        <v>3111582.1700000018</v>
      </c>
      <c r="L6" s="47">
        <f t="shared" si="2"/>
        <v>78938.019999999553</v>
      </c>
      <c r="M6" s="47">
        <f t="shared" si="3"/>
        <v>-7575522.0799999982</v>
      </c>
      <c r="N6" s="47">
        <f t="shared" si="4"/>
        <v>-953248.97999999975</v>
      </c>
      <c r="O6" s="48">
        <f t="shared" si="5"/>
        <v>1.3616433733437801</v>
      </c>
      <c r="P6" s="48">
        <f t="shared" si="6"/>
        <v>0.62786461401526028</v>
      </c>
      <c r="Q6" s="48">
        <f t="shared" si="7"/>
        <v>1.0067835683965196</v>
      </c>
      <c r="R6" s="48">
        <f t="shared" si="8"/>
        <v>0.60730504723538126</v>
      </c>
      <c r="S6" s="49"/>
      <c r="T6"/>
      <c r="U6"/>
      <c r="V6"/>
      <c r="W6"/>
      <c r="X6"/>
      <c r="Y6"/>
    </row>
    <row r="7" ht="18" customHeight="1">
      <c r="A7" s="50"/>
      <c r="B7" s="17" t="s">
        <v>27</v>
      </c>
      <c r="C7" s="45" t="s">
        <v>28</v>
      </c>
      <c r="D7" s="46" t="s">
        <v>29</v>
      </c>
      <c r="E7" s="47">
        <v>51006.310000000005</v>
      </c>
      <c r="F7" s="51">
        <v>79229.199999999997</v>
      </c>
      <c r="G7" s="51">
        <v>52467.900000000001</v>
      </c>
      <c r="H7" s="51">
        <v>6919.1000000000004</v>
      </c>
      <c r="I7" s="47">
        <v>54461.590000000004</v>
      </c>
      <c r="J7" s="47">
        <v>7403.8199999999988</v>
      </c>
      <c r="K7" s="51">
        <f t="shared" si="1"/>
        <v>3455.2799999999988</v>
      </c>
      <c r="L7" s="51">
        <f t="shared" si="2"/>
        <v>1993.6900000000023</v>
      </c>
      <c r="M7" s="51">
        <f t="shared" si="3"/>
        <v>-24767.609999999993</v>
      </c>
      <c r="N7" s="51">
        <f t="shared" si="4"/>
        <v>484.71999999999844</v>
      </c>
      <c r="O7" s="48">
        <f t="shared" si="5"/>
        <v>1.0677422067975511</v>
      </c>
      <c r="P7" s="48">
        <f t="shared" si="6"/>
        <v>1.0700553540200313</v>
      </c>
      <c r="Q7" s="48">
        <f t="shared" si="7"/>
        <v>1.0379982808536268</v>
      </c>
      <c r="R7" s="48">
        <f t="shared" si="8"/>
        <v>0.68739290564589828</v>
      </c>
      <c r="S7" s="49"/>
      <c r="T7"/>
      <c r="U7"/>
      <c r="V7"/>
      <c r="W7"/>
      <c r="X7"/>
      <c r="Y7"/>
    </row>
    <row r="8" ht="18" customHeight="1">
      <c r="A8" s="50"/>
      <c r="B8" s="17" t="s">
        <v>24</v>
      </c>
      <c r="C8" s="45" t="s">
        <v>30</v>
      </c>
      <c r="D8" s="46" t="s">
        <v>31</v>
      </c>
      <c r="E8" s="47">
        <f>765849.86/12*10</f>
        <v>638208.21666666667</v>
      </c>
      <c r="F8" s="47">
        <f>957429+118304.5</f>
        <v>1075733.5</v>
      </c>
      <c r="G8" s="47">
        <v>816439.40000000002</v>
      </c>
      <c r="H8" s="47">
        <v>30051</v>
      </c>
      <c r="I8" s="47">
        <v>867153.64999999991</v>
      </c>
      <c r="J8" s="47">
        <v>22283.689999999999</v>
      </c>
      <c r="K8" s="47">
        <f t="shared" si="1"/>
        <v>228945.43333333323</v>
      </c>
      <c r="L8" s="47">
        <f t="shared" si="2"/>
        <v>50714.249999999884</v>
      </c>
      <c r="M8" s="47">
        <f t="shared" si="3"/>
        <v>-208579.85000000009</v>
      </c>
      <c r="N8" s="47">
        <f t="shared" si="4"/>
        <v>-7767.3100000000013</v>
      </c>
      <c r="O8" s="48">
        <f t="shared" si="5"/>
        <v>1.3587315665240181</v>
      </c>
      <c r="P8" s="48">
        <f t="shared" si="6"/>
        <v>0.74152906725233769</v>
      </c>
      <c r="Q8" s="48">
        <f t="shared" si="7"/>
        <v>1.0621163677304155</v>
      </c>
      <c r="R8" s="48">
        <f t="shared" si="8"/>
        <v>0.80610453239580238</v>
      </c>
      <c r="S8" s="49"/>
      <c r="T8"/>
      <c r="U8"/>
      <c r="V8"/>
      <c r="W8"/>
      <c r="X8"/>
      <c r="Y8"/>
    </row>
    <row r="9" ht="18" customHeight="1">
      <c r="A9" s="50"/>
      <c r="B9" s="17" t="s">
        <v>24</v>
      </c>
      <c r="C9" s="45" t="s">
        <v>32</v>
      </c>
      <c r="D9" s="46" t="s">
        <v>33</v>
      </c>
      <c r="E9" s="47">
        <v>-1727.46</v>
      </c>
      <c r="F9" s="47">
        <v>0</v>
      </c>
      <c r="G9" s="47"/>
      <c r="H9" s="47"/>
      <c r="I9" s="47">
        <v>635.02999999999997</v>
      </c>
      <c r="J9" s="47">
        <v>70.409999999999997</v>
      </c>
      <c r="K9" s="47">
        <f t="shared" si="1"/>
        <v>2362.4899999999998</v>
      </c>
      <c r="L9" s="47">
        <f t="shared" si="2"/>
        <v>635.02999999999997</v>
      </c>
      <c r="M9" s="47">
        <f t="shared" si="3"/>
        <v>635.02999999999997</v>
      </c>
      <c r="N9" s="47">
        <f t="shared" si="4"/>
        <v>70.409999999999997</v>
      </c>
      <c r="O9" s="48">
        <f t="shared" si="5"/>
        <v>-0.36760909080383913</v>
      </c>
      <c r="P9" s="48" t="str">
        <f t="shared" si="6"/>
        <v/>
      </c>
      <c r="Q9" s="48" t="str">
        <f t="shared" si="7"/>
        <v/>
      </c>
      <c r="R9" s="48" t="str">
        <f t="shared" si="8"/>
        <v/>
      </c>
      <c r="S9" s="49"/>
      <c r="T9"/>
      <c r="U9"/>
      <c r="V9"/>
      <c r="W9"/>
      <c r="X9"/>
      <c r="Y9"/>
    </row>
    <row r="10" ht="18" customHeight="1">
      <c r="A10" s="50"/>
      <c r="B10" s="17" t="s">
        <v>24</v>
      </c>
      <c r="C10" s="45" t="s">
        <v>34</v>
      </c>
      <c r="D10" s="46" t="s">
        <v>35</v>
      </c>
      <c r="E10" s="47">
        <v>-1429.0999999999999</v>
      </c>
      <c r="F10" s="47">
        <v>792.29999999999995</v>
      </c>
      <c r="G10" s="47">
        <v>705</v>
      </c>
      <c r="H10" s="47">
        <v>20</v>
      </c>
      <c r="I10" s="47">
        <v>1361.4400000000001</v>
      </c>
      <c r="J10" s="47">
        <v>66.049999999999997</v>
      </c>
      <c r="K10" s="47">
        <f t="shared" si="1"/>
        <v>2790.54</v>
      </c>
      <c r="L10" s="47">
        <f t="shared" si="2"/>
        <v>656.44000000000005</v>
      </c>
      <c r="M10" s="47">
        <f t="shared" si="3"/>
        <v>569.1400000000001</v>
      </c>
      <c r="N10" s="47">
        <f t="shared" si="4"/>
        <v>46.049999999999997</v>
      </c>
      <c r="O10" s="48">
        <f t="shared" si="5"/>
        <v>-0.95265551745854049</v>
      </c>
      <c r="P10" s="48">
        <f t="shared" si="6"/>
        <v>3.3024999999999998</v>
      </c>
      <c r="Q10" s="48">
        <f t="shared" si="7"/>
        <v>1.9311205673758867</v>
      </c>
      <c r="R10" s="48">
        <f t="shared" si="8"/>
        <v>1.7183390130001264</v>
      </c>
      <c r="S10" s="49"/>
      <c r="T10"/>
      <c r="U10"/>
      <c r="V10"/>
      <c r="W10"/>
      <c r="X10"/>
      <c r="Y10"/>
    </row>
    <row r="11" ht="18" customHeight="1">
      <c r="A11" s="50"/>
      <c r="B11" s="17" t="s">
        <v>24</v>
      </c>
      <c r="C11" s="45" t="s">
        <v>36</v>
      </c>
      <c r="D11" s="46" t="s">
        <v>37</v>
      </c>
      <c r="E11" s="47">
        <v>125882.79000000001</v>
      </c>
      <c r="F11" s="47">
        <f>354934.4</f>
        <v>354934.40000000002</v>
      </c>
      <c r="G11" s="47">
        <v>339934.40000000002</v>
      </c>
      <c r="H11" s="47">
        <v>5000</v>
      </c>
      <c r="I11" s="47">
        <v>312576.30000000005</v>
      </c>
      <c r="J11" s="47">
        <v>1659.7</v>
      </c>
      <c r="K11" s="47">
        <f t="shared" si="1"/>
        <v>186693.51000000004</v>
      </c>
      <c r="L11" s="47">
        <f t="shared" si="2"/>
        <v>-27358.099999999977</v>
      </c>
      <c r="M11" s="47">
        <f t="shared" si="3"/>
        <v>-42358.099999999977</v>
      </c>
      <c r="N11" s="47">
        <f t="shared" si="4"/>
        <v>-3340.3000000000002</v>
      </c>
      <c r="O11" s="48">
        <f t="shared" si="5"/>
        <v>2.4830741358687716</v>
      </c>
      <c r="P11" s="48">
        <f t="shared" si="6"/>
        <v>0.33194000000000001</v>
      </c>
      <c r="Q11" s="48">
        <f t="shared" si="7"/>
        <v>0.91951947199224326</v>
      </c>
      <c r="R11" s="48">
        <f t="shared" si="8"/>
        <v>0.88065935564431064</v>
      </c>
      <c r="S11" s="49"/>
      <c r="T11"/>
      <c r="U11"/>
      <c r="V11"/>
      <c r="W11"/>
      <c r="X11"/>
      <c r="Y11"/>
    </row>
    <row r="12" ht="18" customHeight="1">
      <c r="A12" s="50"/>
      <c r="B12" s="17" t="s">
        <v>38</v>
      </c>
      <c r="C12" s="45" t="s">
        <v>39</v>
      </c>
      <c r="D12" s="46" t="s">
        <v>40</v>
      </c>
      <c r="E12" s="47">
        <v>53285.579999999994</v>
      </c>
      <c r="F12" s="47">
        <v>1250550.2</v>
      </c>
      <c r="G12" s="47">
        <v>79000</v>
      </c>
      <c r="H12" s="47">
        <v>5000</v>
      </c>
      <c r="I12" s="47">
        <v>60186.310000000005</v>
      </c>
      <c r="J12" s="47">
        <v>-7857.5600000000004</v>
      </c>
      <c r="K12" s="47">
        <f t="shared" si="1"/>
        <v>6900.7300000000105</v>
      </c>
      <c r="L12" s="47">
        <f t="shared" si="2"/>
        <v>-18813.689999999995</v>
      </c>
      <c r="M12" s="47">
        <f t="shared" si="3"/>
        <v>-1190363.8899999999</v>
      </c>
      <c r="N12" s="47">
        <f t="shared" si="4"/>
        <v>-12857.560000000001</v>
      </c>
      <c r="O12" s="48">
        <f t="shared" si="5"/>
        <v>1.1295046427194753</v>
      </c>
      <c r="P12" s="48">
        <f t="shared" si="6"/>
        <v>-1.571512</v>
      </c>
      <c r="Q12" s="48">
        <f t="shared" si="7"/>
        <v>0.76185202531645579</v>
      </c>
      <c r="R12" s="48">
        <f t="shared" si="8"/>
        <v>0.048127864039364442</v>
      </c>
      <c r="S12" s="49"/>
      <c r="T12"/>
      <c r="U12"/>
      <c r="V12"/>
      <c r="W12"/>
      <c r="X12"/>
      <c r="Y12"/>
    </row>
    <row r="13" ht="18" customHeight="1">
      <c r="A13" s="50"/>
      <c r="B13" s="17" t="s">
        <v>38</v>
      </c>
      <c r="C13" s="45" t="s">
        <v>41</v>
      </c>
      <c r="D13" s="46" t="s">
        <v>42</v>
      </c>
      <c r="E13" s="47">
        <v>1375563.5899999999</v>
      </c>
      <c r="F13" s="47">
        <v>2382735.3000000003</v>
      </c>
      <c r="G13" s="47">
        <v>1573879</v>
      </c>
      <c r="H13" s="47">
        <v>41102</v>
      </c>
      <c r="I13" s="47">
        <v>1493318.4599999997</v>
      </c>
      <c r="J13" s="47">
        <v>24129.529999999999</v>
      </c>
      <c r="K13" s="47">
        <f t="shared" si="1"/>
        <v>117754.86999999988</v>
      </c>
      <c r="L13" s="47">
        <f t="shared" si="2"/>
        <v>-80560.54000000027</v>
      </c>
      <c r="M13" s="47">
        <f t="shared" si="3"/>
        <v>-889416.84000000055</v>
      </c>
      <c r="N13" s="47">
        <f t="shared" si="4"/>
        <v>-16972.470000000001</v>
      </c>
      <c r="O13" s="48">
        <f t="shared" si="5"/>
        <v>1.0856048174406825</v>
      </c>
      <c r="P13" s="48">
        <f t="shared" si="6"/>
        <v>0.58706461972653401</v>
      </c>
      <c r="Q13" s="48">
        <f t="shared" si="7"/>
        <v>0.94881401937505983</v>
      </c>
      <c r="R13" s="48">
        <f t="shared" si="8"/>
        <v>0.62672444564026875</v>
      </c>
      <c r="S13" s="49"/>
      <c r="T13"/>
      <c r="U13"/>
      <c r="V13"/>
      <c r="W13"/>
      <c r="X13"/>
      <c r="Y13"/>
    </row>
    <row r="14" ht="18" customHeight="1">
      <c r="A14" s="50"/>
      <c r="B14" s="17" t="s">
        <v>43</v>
      </c>
      <c r="C14" s="45" t="s">
        <v>44</v>
      </c>
      <c r="D14" s="46" t="s">
        <v>45</v>
      </c>
      <c r="E14" s="47">
        <v>130980.24000000001</v>
      </c>
      <c r="F14" s="47">
        <v>223881.60000000001</v>
      </c>
      <c r="G14" s="47">
        <v>145498.80000000002</v>
      </c>
      <c r="H14" s="47">
        <v>18635.599999999999</v>
      </c>
      <c r="I14" s="47">
        <v>164040.82999999999</v>
      </c>
      <c r="J14" s="47">
        <v>32313.59</v>
      </c>
      <c r="K14" s="47">
        <f t="shared" si="1"/>
        <v>33060.589999999982</v>
      </c>
      <c r="L14" s="47">
        <f>I14-G14</f>
        <v>18542.02999999997</v>
      </c>
      <c r="M14" s="47">
        <f t="shared" si="3"/>
        <v>-59840.770000000019</v>
      </c>
      <c r="N14" s="47">
        <f t="shared" si="4"/>
        <v>13677.990000000002</v>
      </c>
      <c r="O14" s="48">
        <f t="shared" si="5"/>
        <v>1.2524089893254127</v>
      </c>
      <c r="P14" s="48">
        <f t="shared" si="6"/>
        <v>1.7339710017386081</v>
      </c>
      <c r="Q14" s="48">
        <f t="shared" si="7"/>
        <v>1.1274376833348452</v>
      </c>
      <c r="R14" s="48">
        <f t="shared" si="8"/>
        <v>0.7327124247816702</v>
      </c>
      <c r="S14" s="49"/>
      <c r="T14"/>
      <c r="U14"/>
      <c r="V14"/>
      <c r="W14"/>
      <c r="X14"/>
      <c r="Y14"/>
    </row>
    <row r="15" ht="18" customHeight="1">
      <c r="A15" s="50"/>
      <c r="B15" s="17" t="s">
        <v>38</v>
      </c>
      <c r="C15" s="45" t="s">
        <v>46</v>
      </c>
      <c r="D15" s="46" t="s">
        <v>47</v>
      </c>
      <c r="E15" s="47">
        <v>-0.10000000000000001</v>
      </c>
      <c r="F15" s="47">
        <v>0</v>
      </c>
      <c r="G15" s="47"/>
      <c r="H15" s="47">
        <v>0</v>
      </c>
      <c r="I15" s="47">
        <v>0</v>
      </c>
      <c r="J15" s="47">
        <v>0</v>
      </c>
      <c r="K15" s="47">
        <f t="shared" si="1"/>
        <v>0.10000000000000001</v>
      </c>
      <c r="L15" s="47">
        <f t="shared" si="2"/>
        <v>0</v>
      </c>
      <c r="M15" s="47">
        <f t="shared" si="3"/>
        <v>0</v>
      </c>
      <c r="N15" s="47">
        <f t="shared" si="4"/>
        <v>0</v>
      </c>
      <c r="O15" s="48">
        <f t="shared" si="5"/>
        <v>0</v>
      </c>
      <c r="P15" s="48" t="str">
        <f t="shared" si="6"/>
        <v/>
      </c>
      <c r="Q15" s="48" t="str">
        <f t="shared" si="7"/>
        <v/>
      </c>
      <c r="R15" s="48" t="str">
        <f t="shared" si="8"/>
        <v/>
      </c>
      <c r="S15" s="49"/>
      <c r="T15"/>
      <c r="U15"/>
      <c r="V15"/>
      <c r="W15"/>
      <c r="X15"/>
      <c r="Y15"/>
    </row>
    <row r="16" ht="18" customHeight="1">
      <c r="A16" s="52"/>
      <c r="B16" s="53"/>
      <c r="C16" s="54"/>
      <c r="D16" s="55" t="s">
        <v>48</v>
      </c>
      <c r="E16" s="56">
        <f>SUM(E6:E15)</f>
        <v>10975777.216666665</v>
      </c>
      <c r="F16" s="56">
        <f t="shared" ref="F16:J16" si="9">SUM(F6:F15)</f>
        <v>24658967.899999999</v>
      </c>
      <c r="G16" s="56">
        <f t="shared" si="9"/>
        <v>14644575.800000003</v>
      </c>
      <c r="H16" s="56">
        <f t="shared" si="9"/>
        <v>2668292.7000000002</v>
      </c>
      <c r="I16" s="56">
        <f t="shared" si="9"/>
        <v>14669322.93</v>
      </c>
      <c r="J16" s="56">
        <f t="shared" si="9"/>
        <v>1688385.2500000002</v>
      </c>
      <c r="K16" s="56">
        <f>SUM(K6:K15)</f>
        <v>3693545.7133333352</v>
      </c>
      <c r="L16" s="56">
        <f t="shared" si="2"/>
        <v>24747.129999997094</v>
      </c>
      <c r="M16" s="56">
        <f t="shared" si="3"/>
        <v>-9989644.9699999988</v>
      </c>
      <c r="N16" s="56">
        <f t="shared" si="4"/>
        <v>-979907.44999999995</v>
      </c>
      <c r="O16" s="57">
        <f t="shared" si="5"/>
        <v>1.3365179194530938</v>
      </c>
      <c r="P16" s="57">
        <f t="shared" si="6"/>
        <v>0.63275863626205631</v>
      </c>
      <c r="Q16" s="57">
        <f t="shared" si="7"/>
        <v>1.0016898495619107</v>
      </c>
      <c r="R16" s="57">
        <f t="shared" si="8"/>
        <v>0.59488795271111083</v>
      </c>
      <c r="S16" s="49"/>
      <c r="T16"/>
      <c r="U16"/>
      <c r="V16"/>
      <c r="W16"/>
      <c r="X16"/>
      <c r="Y16"/>
    </row>
    <row r="17" ht="18" customHeight="1">
      <c r="A17" s="16" t="s">
        <v>49</v>
      </c>
      <c r="B17" s="17" t="s">
        <v>50</v>
      </c>
      <c r="C17" s="45" t="s">
        <v>51</v>
      </c>
      <c r="D17" s="46" t="s">
        <v>52</v>
      </c>
      <c r="E17" s="47">
        <v>40</v>
      </c>
      <c r="F17" s="47">
        <v>88</v>
      </c>
      <c r="G17" s="47">
        <v>58.599999999999994</v>
      </c>
      <c r="H17" s="47">
        <v>7.2999999999999998</v>
      </c>
      <c r="I17" s="47">
        <v>17.600000000000001</v>
      </c>
      <c r="J17" s="47">
        <v>8</v>
      </c>
      <c r="K17" s="47">
        <f t="shared" si="1"/>
        <v>-22.399999999999999</v>
      </c>
      <c r="L17" s="47">
        <f t="shared" si="2"/>
        <v>-40.999999999999993</v>
      </c>
      <c r="M17" s="47">
        <f t="shared" si="3"/>
        <v>-70.400000000000006</v>
      </c>
      <c r="N17" s="47">
        <f t="shared" si="4"/>
        <v>0.70000000000000018</v>
      </c>
      <c r="O17" s="48">
        <f t="shared" si="5"/>
        <v>0.44000000000000006</v>
      </c>
      <c r="P17" s="48">
        <f t="shared" si="6"/>
        <v>1.095890410958904</v>
      </c>
      <c r="Q17" s="48">
        <f t="shared" si="7"/>
        <v>0.30034129692832767</v>
      </c>
      <c r="R17" s="48">
        <f t="shared" si="8"/>
        <v>0.20000000000000001</v>
      </c>
      <c r="S17" s="49"/>
      <c r="T17"/>
      <c r="U17"/>
      <c r="V17"/>
      <c r="W17"/>
      <c r="X17"/>
      <c r="Y17"/>
    </row>
    <row r="18" s="1" customFormat="1" ht="15">
      <c r="A18" s="58" t="s">
        <v>53</v>
      </c>
      <c r="B18" s="59" t="s">
        <v>50</v>
      </c>
      <c r="C18" s="60" t="s">
        <v>54</v>
      </c>
      <c r="D18" s="61" t="s">
        <v>55</v>
      </c>
      <c r="E18" s="62">
        <v>104.59999999999999</v>
      </c>
      <c r="F18" s="62">
        <v>328.30000000000001</v>
      </c>
      <c r="G18" s="62">
        <v>218.80000000000001</v>
      </c>
      <c r="H18" s="62">
        <v>27.300000000000001</v>
      </c>
      <c r="I18" s="62">
        <v>64</v>
      </c>
      <c r="J18" s="62">
        <v>10.4</v>
      </c>
      <c r="K18" s="62">
        <f t="shared" si="1"/>
        <v>-40.599999999999994</v>
      </c>
      <c r="L18" s="62">
        <f t="shared" si="2"/>
        <v>-154.80000000000001</v>
      </c>
      <c r="M18" s="62">
        <f t="shared" si="3"/>
        <v>-264.30000000000001</v>
      </c>
      <c r="N18" s="62">
        <f t="shared" si="4"/>
        <v>-16.899999999999999</v>
      </c>
      <c r="O18" s="63">
        <f t="shared" si="5"/>
        <v>0.6118546845124283</v>
      </c>
      <c r="P18" s="63">
        <f t="shared" si="6"/>
        <v>0.38095238095238093</v>
      </c>
      <c r="Q18" s="63">
        <f t="shared" si="7"/>
        <v>0.29250457038391225</v>
      </c>
      <c r="R18" s="63">
        <f t="shared" si="8"/>
        <v>0.19494364910143161</v>
      </c>
      <c r="S18" s="49"/>
      <c r="T18"/>
      <c r="U18"/>
      <c r="V18"/>
      <c r="W18"/>
      <c r="X18"/>
      <c r="Y18"/>
      <c r="Z18"/>
    </row>
    <row r="19" ht="35.25" customHeight="1">
      <c r="A19" s="44" t="s">
        <v>56</v>
      </c>
      <c r="B19" s="64" t="s">
        <v>57</v>
      </c>
      <c r="C19" s="45" t="s">
        <v>58</v>
      </c>
      <c r="D19" s="46" t="s">
        <v>59</v>
      </c>
      <c r="E19" s="47">
        <v>-2.48</v>
      </c>
      <c r="F19" s="47">
        <v>0</v>
      </c>
      <c r="G19" s="47">
        <v>0</v>
      </c>
      <c r="H19" s="47">
        <v>0</v>
      </c>
      <c r="I19" s="47">
        <v>0</v>
      </c>
      <c r="J19" s="47">
        <v>0</v>
      </c>
      <c r="K19" s="47">
        <f t="shared" ref="K19:K20" si="10">I19-E19</f>
        <v>2.48</v>
      </c>
      <c r="L19" s="47">
        <f t="shared" ref="L19:L20" si="11">I19-G19</f>
        <v>0</v>
      </c>
      <c r="M19" s="47">
        <f t="shared" ref="M19:M20" si="12">I19-F19</f>
        <v>0</v>
      </c>
      <c r="N19" s="47">
        <f t="shared" ref="N19:N20" si="13">J19-H19</f>
        <v>0</v>
      </c>
      <c r="O19" s="48">
        <f t="shared" ref="O19:O20" si="14">IFERROR(I19/E19,"")</f>
        <v>0</v>
      </c>
      <c r="P19" s="48" t="str">
        <f t="shared" ref="P19:P20" si="15">IFERROR(J19/H19,"")</f>
        <v/>
      </c>
      <c r="Q19" s="48" t="str">
        <f>IFERROR(I19/G19,"")</f>
        <v/>
      </c>
      <c r="R19" s="48" t="str">
        <f t="shared" ref="R19:R20" si="16">IFERROR(I19/F19,"")</f>
        <v/>
      </c>
      <c r="S19" s="49"/>
      <c r="T19"/>
      <c r="U19"/>
      <c r="V19"/>
      <c r="W19"/>
      <c r="X19"/>
      <c r="Y19"/>
    </row>
    <row r="20" s="1" customFormat="1" ht="15">
      <c r="A20" s="58" t="s">
        <v>60</v>
      </c>
      <c r="B20" s="59" t="s">
        <v>24</v>
      </c>
      <c r="C20" s="60" t="s">
        <v>61</v>
      </c>
      <c r="D20" s="61" t="s">
        <v>62</v>
      </c>
      <c r="E20" s="62">
        <v>100</v>
      </c>
      <c r="F20" s="62">
        <v>55</v>
      </c>
      <c r="G20" s="62">
        <v>30</v>
      </c>
      <c r="H20" s="62">
        <v>5</v>
      </c>
      <c r="I20" s="62">
        <v>2445</v>
      </c>
      <c r="J20" s="62">
        <v>400</v>
      </c>
      <c r="K20" s="62">
        <f t="shared" si="10"/>
        <v>2345</v>
      </c>
      <c r="L20" s="62">
        <f t="shared" si="11"/>
        <v>2415</v>
      </c>
      <c r="M20" s="62">
        <f t="shared" si="12"/>
        <v>2390</v>
      </c>
      <c r="N20" s="62">
        <f t="shared" si="13"/>
        <v>395</v>
      </c>
      <c r="O20" s="63">
        <f t="shared" si="14"/>
        <v>24.449999999999999</v>
      </c>
      <c r="P20" s="63">
        <f t="shared" si="15"/>
        <v>80</v>
      </c>
      <c r="Q20" s="63">
        <v>14042.1</v>
      </c>
      <c r="R20" s="63">
        <f t="shared" si="16"/>
        <v>44.454545454545453</v>
      </c>
      <c r="S20" s="49"/>
      <c r="T20"/>
      <c r="U20"/>
      <c r="V20"/>
      <c r="W20"/>
      <c r="X20"/>
      <c r="Y20"/>
      <c r="Z20"/>
    </row>
    <row r="21" s="36" customFormat="1" ht="28.5" customHeight="1">
      <c r="A21" s="65"/>
      <c r="B21" s="65"/>
      <c r="C21" s="39"/>
      <c r="D21" s="66" t="s">
        <v>63</v>
      </c>
      <c r="E21" s="41">
        <f>E25+E28+E36+E48+E50+E55+E58+E61+E70</f>
        <v>4562490.379999998</v>
      </c>
      <c r="F21" s="41">
        <f t="shared" ref="F21:J21" si="17">F25+F28+F36+F48+F50+F55+F58+F61+F70</f>
        <v>7590293.6399999997</v>
      </c>
      <c r="G21" s="41">
        <f t="shared" si="17"/>
        <v>4948396.0399999991</v>
      </c>
      <c r="H21" s="41">
        <f t="shared" si="17"/>
        <v>579309.40000000002</v>
      </c>
      <c r="I21" s="41">
        <f t="shared" si="17"/>
        <v>5211102.8609999996</v>
      </c>
      <c r="J21" s="41">
        <f t="shared" si="17"/>
        <v>552858.79000000004</v>
      </c>
      <c r="K21" s="41">
        <f>K25+K28+K36+K48+K50+K55+K58+K61+K70</f>
        <v>648612.48100000015</v>
      </c>
      <c r="L21" s="41">
        <f t="shared" si="2"/>
        <v>262706.82100000046</v>
      </c>
      <c r="M21" s="41">
        <f t="shared" si="3"/>
        <v>-2379190.7790000001</v>
      </c>
      <c r="N21" s="41">
        <f t="shared" si="4"/>
        <v>-26450.609999999986</v>
      </c>
      <c r="O21" s="42">
        <f t="shared" si="5"/>
        <v>1.1421619394187088</v>
      </c>
      <c r="P21" s="42">
        <f t="shared" si="6"/>
        <v>0.954341134461136</v>
      </c>
      <c r="Q21" s="42">
        <f t="shared" si="7"/>
        <v>1.0530892876957358</v>
      </c>
      <c r="R21" s="42">
        <f t="shared" si="8"/>
        <v>0.68654825599079194</v>
      </c>
      <c r="S21" s="43"/>
      <c r="T21" s="36"/>
      <c r="U21" s="36"/>
      <c r="V21" s="36"/>
      <c r="W21" s="36"/>
      <c r="X21" s="36"/>
      <c r="Y21" s="36"/>
      <c r="Z21" s="36"/>
    </row>
    <row r="22" ht="18" customHeight="1">
      <c r="A22" s="44" t="s">
        <v>56</v>
      </c>
      <c r="B22" s="64" t="s">
        <v>57</v>
      </c>
      <c r="C22" s="67" t="s">
        <v>64</v>
      </c>
      <c r="D22" s="68" t="s">
        <v>65</v>
      </c>
      <c r="E22" s="62">
        <v>108383.50999999999</v>
      </c>
      <c r="F22" s="62">
        <f>209447.5+7162.8+14042.1</f>
        <v>230652.39999999999</v>
      </c>
      <c r="G22" s="62">
        <f>144056.4+6688.2</f>
        <v>150744.60000000001</v>
      </c>
      <c r="H22" s="62">
        <f>18399.2+6688.2</f>
        <v>25087.400000000001</v>
      </c>
      <c r="I22" s="62">
        <v>150744.63</v>
      </c>
      <c r="J22" s="62">
        <v>21283.120000000003</v>
      </c>
      <c r="K22" s="62">
        <f t="shared" si="1"/>
        <v>42361.12000000001</v>
      </c>
      <c r="L22" s="62">
        <f t="shared" si="2"/>
        <v>0.029999999998835847</v>
      </c>
      <c r="M22" s="62">
        <f t="shared" si="3"/>
        <v>-79907.76999999999</v>
      </c>
      <c r="N22" s="62">
        <f t="shared" si="4"/>
        <v>-3804.2799999999988</v>
      </c>
      <c r="O22" s="63">
        <f t="shared" si="5"/>
        <v>1.3908446958398009</v>
      </c>
      <c r="P22" s="63">
        <f t="shared" si="6"/>
        <v>0.84835893715570376</v>
      </c>
      <c r="Q22" s="63">
        <f t="shared" si="7"/>
        <v>1.0000001990121039</v>
      </c>
      <c r="R22" s="63">
        <f t="shared" si="8"/>
        <v>0.65355760442986943</v>
      </c>
      <c r="S22"/>
      <c r="T22"/>
      <c r="U22"/>
      <c r="V22"/>
      <c r="W22"/>
      <c r="X22"/>
      <c r="Y22"/>
    </row>
    <row r="23" ht="18" customHeight="1">
      <c r="A23" s="50"/>
      <c r="B23" s="69"/>
      <c r="C23" s="45" t="s">
        <v>66</v>
      </c>
      <c r="D23" s="68" t="s">
        <v>67</v>
      </c>
      <c r="E23" s="62">
        <v>50255.370000000003</v>
      </c>
      <c r="F23" s="62">
        <v>4501.5</v>
      </c>
      <c r="G23" s="62">
        <v>4501.5</v>
      </c>
      <c r="H23" s="62">
        <v>0</v>
      </c>
      <c r="I23" s="62">
        <v>4074.3499999999999</v>
      </c>
      <c r="J23" s="62">
        <v>0</v>
      </c>
      <c r="K23" s="62">
        <f t="shared" si="1"/>
        <v>-46181.020000000004</v>
      </c>
      <c r="L23" s="62">
        <f t="shared" si="2"/>
        <v>-427.15000000000009</v>
      </c>
      <c r="M23" s="62">
        <f t="shared" si="3"/>
        <v>-427.15000000000009</v>
      </c>
      <c r="N23" s="62">
        <f t="shared" si="4"/>
        <v>0</v>
      </c>
      <c r="O23" s="63">
        <f t="shared" si="5"/>
        <v>0.081072928126884741</v>
      </c>
      <c r="P23" s="63" t="str">
        <f t="shared" si="6"/>
        <v/>
      </c>
      <c r="Q23" s="63">
        <f t="shared" si="7"/>
        <v>0.90510940797511941</v>
      </c>
      <c r="R23" s="63">
        <f t="shared" si="8"/>
        <v>0.90510940797511941</v>
      </c>
      <c r="S23"/>
      <c r="T23"/>
      <c r="U23"/>
      <c r="V23"/>
      <c r="W23"/>
      <c r="X23"/>
      <c r="Y23"/>
    </row>
    <row r="24" ht="18" customHeight="1">
      <c r="A24" s="50"/>
      <c r="B24" s="69"/>
      <c r="C24" s="45" t="s">
        <v>68</v>
      </c>
      <c r="D24" s="68" t="s">
        <v>69</v>
      </c>
      <c r="E24" s="62">
        <v>74565.570000000007</v>
      </c>
      <c r="F24" s="62">
        <f>126183.1+4651.7</f>
        <v>130834.8</v>
      </c>
      <c r="G24" s="62">
        <v>88236.300000000003</v>
      </c>
      <c r="H24" s="62">
        <v>10520</v>
      </c>
      <c r="I24" s="62">
        <v>96151.669999999998</v>
      </c>
      <c r="J24" s="62">
        <v>11286.01</v>
      </c>
      <c r="K24" s="62">
        <f t="shared" si="1"/>
        <v>21586.099999999991</v>
      </c>
      <c r="L24" s="62">
        <f t="shared" si="2"/>
        <v>7915.3699999999953</v>
      </c>
      <c r="M24" s="62">
        <f t="shared" si="3"/>
        <v>-34683.130000000005</v>
      </c>
      <c r="N24" s="62">
        <f t="shared" si="4"/>
        <v>766.01000000000022</v>
      </c>
      <c r="O24" s="63">
        <f t="shared" si="5"/>
        <v>1.2894915173316583</v>
      </c>
      <c r="P24" s="63">
        <f t="shared" si="6"/>
        <v>1.07281463878327</v>
      </c>
      <c r="Q24" s="63">
        <f t="shared" si="7"/>
        <v>1.0897065040125209</v>
      </c>
      <c r="R24" s="63">
        <f t="shared" si="8"/>
        <v>0.73490898445979203</v>
      </c>
      <c r="S24"/>
      <c r="T24"/>
      <c r="U24"/>
      <c r="V24"/>
      <c r="W24"/>
      <c r="X24"/>
      <c r="Y24"/>
    </row>
    <row r="25" ht="18" customHeight="1">
      <c r="A25" s="52"/>
      <c r="B25" s="70"/>
      <c r="C25" s="54"/>
      <c r="D25" s="55" t="s">
        <v>48</v>
      </c>
      <c r="E25" s="71">
        <f>SUM(E22:E24)</f>
        <v>233204.45000000001</v>
      </c>
      <c r="F25" s="71">
        <f t="shared" ref="F25:J25" si="18">SUM(F22:F24)</f>
        <v>365988.70000000001</v>
      </c>
      <c r="G25" s="71">
        <f t="shared" si="18"/>
        <v>243482.40000000002</v>
      </c>
      <c r="H25" s="71">
        <f t="shared" si="18"/>
        <v>35607.400000000001</v>
      </c>
      <c r="I25" s="71">
        <f t="shared" si="18"/>
        <v>250970.65000000002</v>
      </c>
      <c r="J25" s="71">
        <f t="shared" si="18"/>
        <v>32569.130000000005</v>
      </c>
      <c r="K25" s="71">
        <f t="shared" si="1"/>
        <v>17766.200000000012</v>
      </c>
      <c r="L25" s="71">
        <f t="shared" si="2"/>
        <v>7488.25</v>
      </c>
      <c r="M25" s="71">
        <f t="shared" si="3"/>
        <v>-115018.04999999999</v>
      </c>
      <c r="N25" s="71">
        <f t="shared" si="4"/>
        <v>-3038.2699999999968</v>
      </c>
      <c r="O25" s="72">
        <f t="shared" si="5"/>
        <v>1.0761829373324565</v>
      </c>
      <c r="P25" s="72">
        <f t="shared" si="6"/>
        <v>0.91467307357459415</v>
      </c>
      <c r="Q25" s="72">
        <f t="shared" si="7"/>
        <v>1.0307547896685756</v>
      </c>
      <c r="R25" s="72">
        <f t="shared" si="8"/>
        <v>0.68573333001811265</v>
      </c>
      <c r="S25"/>
      <c r="T25"/>
      <c r="U25"/>
      <c r="V25"/>
      <c r="W25"/>
      <c r="X25"/>
      <c r="Y25"/>
      <c r="Z25"/>
    </row>
    <row r="26" ht="23.25" customHeight="1">
      <c r="A26" s="17">
        <v>951</v>
      </c>
      <c r="B26" s="17" t="s">
        <v>24</v>
      </c>
      <c r="C26" s="73" t="s">
        <v>70</v>
      </c>
      <c r="D26" s="74" t="s">
        <v>71</v>
      </c>
      <c r="E26" s="62">
        <v>71530.080000000002</v>
      </c>
      <c r="F26" s="62">
        <f>75335.1+27032.8</f>
        <v>102367.90000000001</v>
      </c>
      <c r="G26" s="62">
        <v>73091.800000000003</v>
      </c>
      <c r="H26" s="62">
        <v>6278</v>
      </c>
      <c r="I26" s="62">
        <v>81633.339999999997</v>
      </c>
      <c r="J26" s="62">
        <v>6476.46</v>
      </c>
      <c r="K26" s="62">
        <f t="shared" si="1"/>
        <v>10103.259999999995</v>
      </c>
      <c r="L26" s="62">
        <f t="shared" si="2"/>
        <v>8541.5399999999936</v>
      </c>
      <c r="M26" s="62">
        <f t="shared" si="3"/>
        <v>-20734.560000000012</v>
      </c>
      <c r="N26" s="62">
        <f t="shared" si="4"/>
        <v>198.46000000000004</v>
      </c>
      <c r="O26" s="63">
        <f t="shared" si="5"/>
        <v>1.1412449140277767</v>
      </c>
      <c r="P26" s="63">
        <f t="shared" si="6"/>
        <v>1.0316119783370501</v>
      </c>
      <c r="Q26" s="63">
        <f t="shared" si="7"/>
        <v>1.1168604412533278</v>
      </c>
      <c r="R26" s="63">
        <f t="shared" si="8"/>
        <v>0.79745056800032033</v>
      </c>
      <c r="S26"/>
      <c r="T26"/>
      <c r="U26"/>
      <c r="V26"/>
      <c r="W26"/>
      <c r="X26"/>
      <c r="Y26"/>
    </row>
    <row r="27" ht="22.5" customHeight="1">
      <c r="A27" s="17"/>
      <c r="B27" s="17"/>
      <c r="C27" s="73" t="s">
        <v>72</v>
      </c>
      <c r="D27" s="75" t="s">
        <v>73</v>
      </c>
      <c r="E27" s="62">
        <v>7086.8099999999995</v>
      </c>
      <c r="F27" s="62">
        <v>13384.799999999999</v>
      </c>
      <c r="G27" s="62">
        <v>7899.7999999999993</v>
      </c>
      <c r="H27" s="62">
        <v>1432.5999999999999</v>
      </c>
      <c r="I27" s="62">
        <v>11183.73</v>
      </c>
      <c r="J27" s="62">
        <v>1768.47</v>
      </c>
      <c r="K27" s="62">
        <f t="shared" si="1"/>
        <v>4096.9200000000001</v>
      </c>
      <c r="L27" s="62">
        <f t="shared" si="2"/>
        <v>3283.9300000000003</v>
      </c>
      <c r="M27" s="62">
        <f t="shared" si="3"/>
        <v>-2201.0699999999997</v>
      </c>
      <c r="N27" s="62">
        <f t="shared" si="4"/>
        <v>335.87000000000012</v>
      </c>
      <c r="O27" s="63">
        <f t="shared" si="5"/>
        <v>1.5781049583663171</v>
      </c>
      <c r="P27" s="63">
        <f t="shared" si="6"/>
        <v>1.2344478570431385</v>
      </c>
      <c r="Q27" s="63">
        <f t="shared" si="7"/>
        <v>1.4156978657687538</v>
      </c>
      <c r="R27" s="63">
        <f t="shared" si="8"/>
        <v>0.83555450959297117</v>
      </c>
      <c r="S27"/>
      <c r="T27"/>
      <c r="U27"/>
      <c r="V27"/>
      <c r="W27"/>
      <c r="X27"/>
      <c r="Y27"/>
    </row>
    <row r="28" ht="15">
      <c r="A28" s="17"/>
      <c r="B28" s="17"/>
      <c r="C28" s="54"/>
      <c r="D28" s="76" t="s">
        <v>48</v>
      </c>
      <c r="E28" s="71">
        <f>E26+E27</f>
        <v>78616.889999999999</v>
      </c>
      <c r="F28" s="71">
        <f t="shared" ref="F28:J28" si="19">F26+F27</f>
        <v>115752.70000000001</v>
      </c>
      <c r="G28" s="71">
        <f t="shared" si="19"/>
        <v>80991.600000000006</v>
      </c>
      <c r="H28" s="71">
        <f t="shared" si="19"/>
        <v>7710.6000000000004</v>
      </c>
      <c r="I28" s="71">
        <f t="shared" si="19"/>
        <v>92817.069999999992</v>
      </c>
      <c r="J28" s="71">
        <f t="shared" si="19"/>
        <v>8244.9300000000003</v>
      </c>
      <c r="K28" s="71">
        <f t="shared" si="1"/>
        <v>14200.179999999993</v>
      </c>
      <c r="L28" s="71">
        <f t="shared" si="2"/>
        <v>11825.469999999987</v>
      </c>
      <c r="M28" s="71">
        <f t="shared" si="3"/>
        <v>-22935.630000000019</v>
      </c>
      <c r="N28" s="71">
        <f t="shared" si="4"/>
        <v>534.32999999999993</v>
      </c>
      <c r="O28" s="72">
        <f t="shared" si="5"/>
        <v>1.1806250539801306</v>
      </c>
      <c r="P28" s="72">
        <f t="shared" si="6"/>
        <v>1.0692981090965683</v>
      </c>
      <c r="Q28" s="72">
        <f t="shared" si="7"/>
        <v>1.1460085984225523</v>
      </c>
      <c r="R28" s="72">
        <f t="shared" si="8"/>
        <v>0.80185663055807754</v>
      </c>
      <c r="S28"/>
      <c r="T28"/>
      <c r="U28"/>
      <c r="V28"/>
      <c r="W28"/>
      <c r="X28"/>
      <c r="Y28"/>
      <c r="Z28"/>
    </row>
    <row r="29" ht="18.75" customHeight="1">
      <c r="A29" s="16" t="s">
        <v>74</v>
      </c>
      <c r="B29" s="17" t="s">
        <v>75</v>
      </c>
      <c r="C29" s="45" t="s">
        <v>76</v>
      </c>
      <c r="D29" s="68" t="s">
        <v>77</v>
      </c>
      <c r="E29" s="62">
        <v>3566.5100000000002</v>
      </c>
      <c r="F29" s="62">
        <v>2640</v>
      </c>
      <c r="G29" s="62">
        <v>2640</v>
      </c>
      <c r="H29" s="62">
        <v>2640</v>
      </c>
      <c r="I29" s="62">
        <v>7403.8299999999999</v>
      </c>
      <c r="J29" s="62">
        <v>0</v>
      </c>
      <c r="K29" s="62">
        <f t="shared" si="1"/>
        <v>3837.3199999999997</v>
      </c>
      <c r="L29" s="62">
        <f t="shared" si="2"/>
        <v>4763.8299999999999</v>
      </c>
      <c r="M29" s="62">
        <f t="shared" si="3"/>
        <v>4763.8299999999999</v>
      </c>
      <c r="N29" s="62">
        <f t="shared" si="4"/>
        <v>-2640</v>
      </c>
      <c r="O29" s="63">
        <f t="shared" si="5"/>
        <v>2.0759313726864637</v>
      </c>
      <c r="P29" s="63">
        <f t="shared" si="6"/>
        <v>0</v>
      </c>
      <c r="Q29" s="63">
        <f t="shared" si="7"/>
        <v>2.8044810606060606</v>
      </c>
      <c r="R29" s="63">
        <f t="shared" si="8"/>
        <v>2.8044810606060606</v>
      </c>
      <c r="S29"/>
      <c r="T29"/>
      <c r="U29"/>
      <c r="V29"/>
      <c r="W29"/>
      <c r="X29"/>
      <c r="Y29"/>
    </row>
    <row r="30" ht="17.25" customHeight="1">
      <c r="A30" s="16"/>
      <c r="B30" s="17"/>
      <c r="C30" s="45" t="s">
        <v>78</v>
      </c>
      <c r="D30" s="77" t="s">
        <v>79</v>
      </c>
      <c r="E30" s="62">
        <v>55959.850000000006</v>
      </c>
      <c r="F30" s="62">
        <v>95135.199999999997</v>
      </c>
      <c r="G30" s="62">
        <v>60500</v>
      </c>
      <c r="H30" s="62">
        <v>8200</v>
      </c>
      <c r="I30" s="62">
        <v>53645.150000000001</v>
      </c>
      <c r="J30" s="62">
        <v>6363.96</v>
      </c>
      <c r="K30" s="62">
        <f t="shared" si="1"/>
        <v>-2314.7000000000044</v>
      </c>
      <c r="L30" s="62">
        <f t="shared" si="2"/>
        <v>-6854.8499999999985</v>
      </c>
      <c r="M30" s="62">
        <f t="shared" si="3"/>
        <v>-41490.049999999996</v>
      </c>
      <c r="N30" s="62">
        <f t="shared" si="4"/>
        <v>-1836.04</v>
      </c>
      <c r="O30" s="63">
        <f t="shared" si="5"/>
        <v>0.95863641521555176</v>
      </c>
      <c r="P30" s="63">
        <f t="shared" si="6"/>
        <v>0.77609268292682931</v>
      </c>
      <c r="Q30" s="63">
        <f t="shared" si="7"/>
        <v>0.88669669421487607</v>
      </c>
      <c r="R30" s="63">
        <f t="shared" si="8"/>
        <v>0.56388329451139019</v>
      </c>
      <c r="S30"/>
      <c r="T30"/>
      <c r="U30"/>
      <c r="V30"/>
      <c r="W30"/>
      <c r="X30"/>
      <c r="Y30"/>
    </row>
    <row r="31" ht="15">
      <c r="A31" s="16"/>
      <c r="B31" s="17"/>
      <c r="C31" s="67" t="s">
        <v>80</v>
      </c>
      <c r="D31" s="78" t="s">
        <v>81</v>
      </c>
      <c r="E31" s="62">
        <v>6493.8500000000004</v>
      </c>
      <c r="F31" s="62">
        <v>557</v>
      </c>
      <c r="G31" s="62">
        <v>371.30000000000001</v>
      </c>
      <c r="H31" s="62">
        <v>46.399999999999999</v>
      </c>
      <c r="I31" s="62">
        <v>1092.51</v>
      </c>
      <c r="J31" s="62">
        <v>51.100000000000001</v>
      </c>
      <c r="K31" s="62">
        <f t="shared" si="1"/>
        <v>-5401.3400000000001</v>
      </c>
      <c r="L31" s="62">
        <f t="shared" si="2"/>
        <v>721.21000000000004</v>
      </c>
      <c r="M31" s="62">
        <f t="shared" si="3"/>
        <v>535.50999999999999</v>
      </c>
      <c r="N31" s="62">
        <f t="shared" si="4"/>
        <v>4.7000000000000028</v>
      </c>
      <c r="O31" s="63">
        <f t="shared" si="5"/>
        <v>0.16823764022883189</v>
      </c>
      <c r="P31" s="63">
        <f t="shared" si="6"/>
        <v>1.101293103448276</v>
      </c>
      <c r="Q31" s="63">
        <f t="shared" si="7"/>
        <v>2.9423915970913006</v>
      </c>
      <c r="R31" s="63">
        <f t="shared" si="8"/>
        <v>1.9614183123877917</v>
      </c>
      <c r="S31"/>
      <c r="T31"/>
      <c r="U31"/>
      <c r="V31"/>
      <c r="W31"/>
      <c r="X31"/>
      <c r="Y31"/>
    </row>
    <row r="32" s="36" customFormat="1" ht="27" customHeight="1">
      <c r="A32" s="16"/>
      <c r="B32" s="17"/>
      <c r="C32" s="79" t="s">
        <v>82</v>
      </c>
      <c r="D32" s="80" t="s">
        <v>83</v>
      </c>
      <c r="E32" s="81">
        <f>E33+E35+E34</f>
        <v>207720.95999999999</v>
      </c>
      <c r="F32" s="81">
        <f t="shared" ref="F32:J32" si="20">F33+F35+F34</f>
        <v>314008</v>
      </c>
      <c r="G32" s="81">
        <f t="shared" si="20"/>
        <v>267001.40000000002</v>
      </c>
      <c r="H32" s="81">
        <f t="shared" si="20"/>
        <v>3562.5</v>
      </c>
      <c r="I32" s="81">
        <f t="shared" si="20"/>
        <v>294151.48000000004</v>
      </c>
      <c r="J32" s="81">
        <f t="shared" si="20"/>
        <v>2377.54</v>
      </c>
      <c r="K32" s="81">
        <f t="shared" si="1"/>
        <v>86430.520000000048</v>
      </c>
      <c r="L32" s="81">
        <f t="shared" si="2"/>
        <v>27150.080000000016</v>
      </c>
      <c r="M32" s="81">
        <f t="shared" si="3"/>
        <v>-19856.51999999996</v>
      </c>
      <c r="N32" s="81">
        <f t="shared" si="4"/>
        <v>-1184.96</v>
      </c>
      <c r="O32" s="82">
        <f t="shared" si="5"/>
        <v>1.41608954628363</v>
      </c>
      <c r="P32" s="82">
        <f t="shared" si="6"/>
        <v>0.66737964912280701</v>
      </c>
      <c r="Q32" s="82">
        <f t="shared" si="7"/>
        <v>1.1016851597032824</v>
      </c>
      <c r="R32" s="82">
        <f t="shared" si="8"/>
        <v>0.93676428626022279</v>
      </c>
      <c r="S32" s="36"/>
      <c r="T32" s="36"/>
      <c r="U32" s="36"/>
      <c r="V32" s="36"/>
      <c r="W32" s="36"/>
      <c r="X32" s="36"/>
      <c r="Y32" s="36"/>
      <c r="Z32" s="36"/>
    </row>
    <row r="33" ht="23.25" customHeight="1">
      <c r="A33" s="16"/>
      <c r="B33" s="17"/>
      <c r="C33" s="73" t="s">
        <v>84</v>
      </c>
      <c r="D33" s="83" t="s">
        <v>85</v>
      </c>
      <c r="E33" s="62">
        <v>180746.26999999999</v>
      </c>
      <c r="F33" s="71">
        <f>251905.2+24868.1</f>
        <v>276773.29999999999</v>
      </c>
      <c r="G33" s="71">
        <v>243570.39999999999</v>
      </c>
      <c r="H33" s="71">
        <v>856.89999999999998</v>
      </c>
      <c r="I33" s="62">
        <v>272787.89000000001</v>
      </c>
      <c r="J33" s="62">
        <v>-96.670000000000002</v>
      </c>
      <c r="K33" s="71">
        <f t="shared" si="1"/>
        <v>92041.620000000024</v>
      </c>
      <c r="L33" s="71">
        <f t="shared" si="2"/>
        <v>29217.49000000002</v>
      </c>
      <c r="M33" s="71">
        <f t="shared" si="3"/>
        <v>-3985.4099999999744</v>
      </c>
      <c r="N33" s="71">
        <f t="shared" si="4"/>
        <v>-953.56999999999994</v>
      </c>
      <c r="O33" s="63">
        <f t="shared" si="5"/>
        <v>1.5092310895267715</v>
      </c>
      <c r="P33" s="63">
        <f t="shared" si="6"/>
        <v>-0.11281363052864979</v>
      </c>
      <c r="Q33" s="63">
        <f t="shared" si="7"/>
        <v>1.119955010953712</v>
      </c>
      <c r="R33" s="63">
        <f t="shared" si="8"/>
        <v>0.98560045351195369</v>
      </c>
      <c r="S33"/>
      <c r="T33"/>
      <c r="U33"/>
      <c r="V33"/>
      <c r="W33"/>
      <c r="X33"/>
      <c r="Y33"/>
      <c r="Z33"/>
    </row>
    <row r="34" ht="21" customHeight="1">
      <c r="A34" s="16"/>
      <c r="B34" s="17"/>
      <c r="C34" s="73" t="s">
        <v>86</v>
      </c>
      <c r="D34" s="83" t="s">
        <v>87</v>
      </c>
      <c r="E34" s="62">
        <v>1024.1700000000001</v>
      </c>
      <c r="F34" s="71">
        <v>1403.8</v>
      </c>
      <c r="G34" s="71">
        <v>920</v>
      </c>
      <c r="H34" s="71">
        <v>57</v>
      </c>
      <c r="I34" s="62">
        <v>0</v>
      </c>
      <c r="J34" s="62">
        <v>0</v>
      </c>
      <c r="K34" s="71">
        <f t="shared" si="1"/>
        <v>-1024.1700000000001</v>
      </c>
      <c r="L34" s="71">
        <f t="shared" si="2"/>
        <v>-920</v>
      </c>
      <c r="M34" s="71">
        <f t="shared" si="3"/>
        <v>-1403.8</v>
      </c>
      <c r="N34" s="71">
        <f t="shared" si="4"/>
        <v>-57</v>
      </c>
      <c r="O34" s="63">
        <f t="shared" si="5"/>
        <v>0</v>
      </c>
      <c r="P34" s="63">
        <f t="shared" si="6"/>
        <v>0</v>
      </c>
      <c r="Q34" s="63">
        <f t="shared" si="7"/>
        <v>0</v>
      </c>
      <c r="R34" s="63">
        <f t="shared" si="8"/>
        <v>0</v>
      </c>
      <c r="S34"/>
      <c r="T34"/>
      <c r="U34"/>
      <c r="V34"/>
      <c r="W34"/>
      <c r="X34"/>
      <c r="Y34"/>
      <c r="Z34"/>
    </row>
    <row r="35" ht="25.5" customHeight="1">
      <c r="A35" s="16"/>
      <c r="B35" s="17"/>
      <c r="C35" s="73" t="s">
        <v>88</v>
      </c>
      <c r="D35" s="83" t="s">
        <v>89</v>
      </c>
      <c r="E35" s="62">
        <v>25950.52</v>
      </c>
      <c r="F35" s="71">
        <f>35830.9</f>
        <v>35830.900000000001</v>
      </c>
      <c r="G35" s="71">
        <v>22511</v>
      </c>
      <c r="H35" s="71">
        <v>2648.5999999999999</v>
      </c>
      <c r="I35" s="62">
        <v>21363.59</v>
      </c>
      <c r="J35" s="62">
        <v>2474.21</v>
      </c>
      <c r="K35" s="71">
        <f t="shared" si="1"/>
        <v>-4586.9300000000003</v>
      </c>
      <c r="L35" s="71">
        <f t="shared" si="2"/>
        <v>-1147.4099999999999</v>
      </c>
      <c r="M35" s="71">
        <f t="shared" si="3"/>
        <v>-14467.310000000001</v>
      </c>
      <c r="N35" s="71">
        <f t="shared" si="4"/>
        <v>-174.38999999999987</v>
      </c>
      <c r="O35" s="63">
        <f t="shared" si="5"/>
        <v>0.82324323366159902</v>
      </c>
      <c r="P35" s="63">
        <f t="shared" si="6"/>
        <v>0.93415766820206902</v>
      </c>
      <c r="Q35" s="63">
        <f t="shared" si="7"/>
        <v>0.94902891919506016</v>
      </c>
      <c r="R35" s="63">
        <f t="shared" si="8"/>
        <v>0.59623369773017143</v>
      </c>
      <c r="S35"/>
      <c r="T35"/>
      <c r="U35"/>
      <c r="V35"/>
      <c r="W35"/>
      <c r="X35"/>
      <c r="Y35"/>
      <c r="Z35"/>
    </row>
    <row r="36" ht="15">
      <c r="A36" s="16"/>
      <c r="B36" s="16"/>
      <c r="C36" s="54"/>
      <c r="D36" s="76" t="s">
        <v>48</v>
      </c>
      <c r="E36" s="84">
        <f>SUM(E29:E32)</f>
        <v>273741.16999999998</v>
      </c>
      <c r="F36" s="71">
        <f t="shared" ref="F36:J36" si="21">SUM(F29:F32)</f>
        <v>412340.20000000001</v>
      </c>
      <c r="G36" s="71">
        <f t="shared" si="21"/>
        <v>330512.70000000001</v>
      </c>
      <c r="H36" s="71">
        <f t="shared" si="21"/>
        <v>14448.9</v>
      </c>
      <c r="I36" s="71">
        <f t="shared" si="21"/>
        <v>356292.97000000003</v>
      </c>
      <c r="J36" s="71">
        <f t="shared" si="21"/>
        <v>8792.6000000000004</v>
      </c>
      <c r="K36" s="71">
        <f t="shared" si="1"/>
        <v>82551.800000000047</v>
      </c>
      <c r="L36" s="71">
        <f t="shared" si="2"/>
        <v>25780.270000000019</v>
      </c>
      <c r="M36" s="71">
        <f t="shared" si="3"/>
        <v>-56047.229999999981</v>
      </c>
      <c r="N36" s="71">
        <f t="shared" si="4"/>
        <v>-5656.2999999999993</v>
      </c>
      <c r="O36" s="72">
        <f t="shared" si="5"/>
        <v>1.3015688140735282</v>
      </c>
      <c r="P36" s="72">
        <f t="shared" si="6"/>
        <v>0.60853075320612648</v>
      </c>
      <c r="Q36" s="72">
        <f t="shared" si="7"/>
        <v>1.0780008453532952</v>
      </c>
      <c r="R36" s="72">
        <f t="shared" si="8"/>
        <v>0.86407527085644331</v>
      </c>
      <c r="S36"/>
      <c r="T36"/>
      <c r="U36"/>
      <c r="V36"/>
      <c r="W36"/>
      <c r="X36"/>
      <c r="Y36"/>
      <c r="Z36"/>
    </row>
    <row r="37" ht="30">
      <c r="A37" s="16" t="s">
        <v>90</v>
      </c>
      <c r="B37" s="17" t="s">
        <v>38</v>
      </c>
      <c r="C37" s="67" t="s">
        <v>91</v>
      </c>
      <c r="D37" s="78" t="s">
        <v>92</v>
      </c>
      <c r="E37" s="62">
        <v>189391.5</v>
      </c>
      <c r="F37" s="62">
        <v>280952</v>
      </c>
      <c r="G37" s="62">
        <v>167550</v>
      </c>
      <c r="H37" s="62">
        <v>10100</v>
      </c>
      <c r="I37" s="62">
        <v>183751.88</v>
      </c>
      <c r="J37" s="62">
        <v>15227.98</v>
      </c>
      <c r="K37" s="62">
        <f t="shared" ref="K37:K82" si="22">I37-E37</f>
        <v>-5639.6199999999953</v>
      </c>
      <c r="L37" s="62">
        <f t="shared" si="2"/>
        <v>16201.880000000005</v>
      </c>
      <c r="M37" s="62">
        <f t="shared" ref="M37:M82" si="23">I37-F37</f>
        <v>-97200.119999999995</v>
      </c>
      <c r="N37" s="62">
        <f t="shared" ref="N37:N82" si="24">J37-H37</f>
        <v>5127.9799999999996</v>
      </c>
      <c r="O37" s="63">
        <f t="shared" ref="O37:O82" si="25">IFERROR(I37/E37,"")</f>
        <v>0.97022242286480653</v>
      </c>
      <c r="P37" s="63">
        <f t="shared" ref="P37:P82" si="26">IFERROR(J37/H37,"")</f>
        <v>1.5077207920792079</v>
      </c>
      <c r="Q37" s="63">
        <f t="shared" si="7"/>
        <v>1.0966987764846314</v>
      </c>
      <c r="R37" s="63">
        <f t="shared" si="8"/>
        <v>0.6540330020786469</v>
      </c>
      <c r="S37"/>
      <c r="T37"/>
      <c r="U37"/>
      <c r="V37"/>
      <c r="W37"/>
      <c r="X37"/>
      <c r="Y37"/>
    </row>
    <row r="38" s="1" customFormat="1" ht="30">
      <c r="A38" s="16"/>
      <c r="B38" s="17"/>
      <c r="C38" s="85" t="s">
        <v>93</v>
      </c>
      <c r="D38" s="86" t="s">
        <v>94</v>
      </c>
      <c r="E38" s="62">
        <v>182441.94</v>
      </c>
      <c r="F38" s="62">
        <f>234039.3+205542.3</f>
        <v>439581.59999999998</v>
      </c>
      <c r="G38" s="62">
        <v>428887.70000000001</v>
      </c>
      <c r="H38" s="62">
        <v>2000</v>
      </c>
      <c r="I38" s="62">
        <v>439475.79000000004</v>
      </c>
      <c r="J38" s="62">
        <v>11591.26</v>
      </c>
      <c r="K38" s="62">
        <f t="shared" si="22"/>
        <v>257033.85000000003</v>
      </c>
      <c r="L38" s="62">
        <f t="shared" si="2"/>
        <v>10588.090000000026</v>
      </c>
      <c r="M38" s="62">
        <f t="shared" si="23"/>
        <v>-105.80999999993946</v>
      </c>
      <c r="N38" s="62">
        <f t="shared" si="24"/>
        <v>9591.2600000000002</v>
      </c>
      <c r="O38" s="63">
        <f t="shared" si="25"/>
        <v>2.4088528657390951</v>
      </c>
      <c r="P38" s="63">
        <f t="shared" si="26"/>
        <v>5.7956300000000001</v>
      </c>
      <c r="Q38" s="63">
        <f t="shared" si="7"/>
        <v>1.0246873249104602</v>
      </c>
      <c r="R38" s="63">
        <f t="shared" si="8"/>
        <v>0.99975929383759476</v>
      </c>
      <c r="S38"/>
      <c r="T38"/>
      <c r="U38"/>
      <c r="V38"/>
      <c r="W38"/>
      <c r="X38"/>
      <c r="Y38"/>
      <c r="Z38"/>
    </row>
    <row r="39" ht="30">
      <c r="A39" s="16"/>
      <c r="B39" s="17"/>
      <c r="C39" s="45" t="s">
        <v>95</v>
      </c>
      <c r="D39" s="68" t="s">
        <v>96</v>
      </c>
      <c r="E39" s="62">
        <v>24807.09</v>
      </c>
      <c r="F39" s="62">
        <v>42797.900000000001</v>
      </c>
      <c r="G39" s="62">
        <v>23880</v>
      </c>
      <c r="H39" s="62">
        <v>820</v>
      </c>
      <c r="I39" s="62">
        <v>25824.810000000001</v>
      </c>
      <c r="J39" s="62">
        <v>657.19000000000005</v>
      </c>
      <c r="K39" s="62">
        <f t="shared" si="22"/>
        <v>1017.7200000000012</v>
      </c>
      <c r="L39" s="62">
        <f t="shared" si="2"/>
        <v>1944.8100000000013</v>
      </c>
      <c r="M39" s="62">
        <f t="shared" si="23"/>
        <v>-16973.09</v>
      </c>
      <c r="N39" s="62">
        <f t="shared" si="24"/>
        <v>-162.80999999999995</v>
      </c>
      <c r="O39" s="63">
        <f t="shared" si="25"/>
        <v>1.0410253681507988</v>
      </c>
      <c r="P39" s="63">
        <f t="shared" si="26"/>
        <v>0.80145121951219522</v>
      </c>
      <c r="Q39" s="63">
        <f t="shared" si="7"/>
        <v>1.0814409547738695</v>
      </c>
      <c r="R39" s="63">
        <f t="shared" si="8"/>
        <v>0.60341301792844981</v>
      </c>
      <c r="S39"/>
      <c r="T39"/>
      <c r="U39"/>
      <c r="V39"/>
      <c r="W39"/>
      <c r="X39"/>
      <c r="Y39"/>
    </row>
    <row r="40" ht="18.75" customHeight="1">
      <c r="A40" s="16"/>
      <c r="B40" s="17"/>
      <c r="C40" s="45" t="s">
        <v>97</v>
      </c>
      <c r="D40" s="68" t="s">
        <v>98</v>
      </c>
      <c r="E40" s="62">
        <v>2044.73</v>
      </c>
      <c r="F40" s="62">
        <v>3022.8000000000002</v>
      </c>
      <c r="G40" s="62">
        <v>681</v>
      </c>
      <c r="H40" s="62">
        <v>0</v>
      </c>
      <c r="I40" s="62">
        <v>3153.5900000000001</v>
      </c>
      <c r="J40" s="62">
        <v>141.68000000000001</v>
      </c>
      <c r="K40" s="62">
        <f t="shared" si="22"/>
        <v>1108.8600000000001</v>
      </c>
      <c r="L40" s="62">
        <f t="shared" si="2"/>
        <v>2472.5900000000001</v>
      </c>
      <c r="M40" s="62">
        <f t="shared" si="23"/>
        <v>130.78999999999996</v>
      </c>
      <c r="N40" s="62">
        <f t="shared" si="24"/>
        <v>141.68000000000001</v>
      </c>
      <c r="O40" s="63">
        <f t="shared" si="25"/>
        <v>1.5423014285504688</v>
      </c>
      <c r="P40" s="63" t="str">
        <f t="shared" si="26"/>
        <v/>
      </c>
      <c r="Q40" s="63">
        <f t="shared" si="7"/>
        <v>4.6308223201174741</v>
      </c>
      <c r="R40" s="63">
        <f t="shared" si="8"/>
        <v>1.0432678311499273</v>
      </c>
      <c r="S40"/>
      <c r="T40"/>
      <c r="U40"/>
      <c r="V40"/>
      <c r="W40"/>
      <c r="X40"/>
      <c r="Y40"/>
    </row>
    <row r="41" ht="18" customHeight="1">
      <c r="A41" s="16"/>
      <c r="B41" s="17"/>
      <c r="C41" s="45" t="s">
        <v>99</v>
      </c>
      <c r="D41" s="68" t="s">
        <v>100</v>
      </c>
      <c r="E41" s="62">
        <v>215.34999999999999</v>
      </c>
      <c r="F41" s="62">
        <v>0</v>
      </c>
      <c r="G41" s="62"/>
      <c r="H41" s="62">
        <v>0</v>
      </c>
      <c r="I41" s="62">
        <v>172.56</v>
      </c>
      <c r="J41" s="62">
        <v>0</v>
      </c>
      <c r="K41" s="62">
        <f t="shared" si="22"/>
        <v>-42.789999999999992</v>
      </c>
      <c r="L41" s="62">
        <f t="shared" si="2"/>
        <v>172.56</v>
      </c>
      <c r="M41" s="62">
        <f t="shared" si="23"/>
        <v>172.56</v>
      </c>
      <c r="N41" s="62">
        <f t="shared" si="24"/>
        <v>0</v>
      </c>
      <c r="O41" s="63">
        <f t="shared" si="25"/>
        <v>0.8013002089621547</v>
      </c>
      <c r="P41" s="63" t="str">
        <f t="shared" si="26"/>
        <v/>
      </c>
      <c r="Q41" s="63" t="str">
        <f t="shared" si="7"/>
        <v/>
      </c>
      <c r="R41" s="63" t="str">
        <f t="shared" si="8"/>
        <v/>
      </c>
      <c r="S41"/>
      <c r="T41"/>
      <c r="U41"/>
      <c r="V41"/>
      <c r="W41"/>
      <c r="X41"/>
      <c r="Y41"/>
    </row>
    <row r="42" ht="30">
      <c r="A42" s="16"/>
      <c r="B42" s="17"/>
      <c r="C42" s="67" t="s">
        <v>101</v>
      </c>
      <c r="D42" s="78" t="s">
        <v>102</v>
      </c>
      <c r="E42" s="62">
        <v>159757.41</v>
      </c>
      <c r="F42" s="62">
        <f>200388.7-11027.9</f>
        <v>189360.80000000002</v>
      </c>
      <c r="G42" s="62">
        <v>101280</v>
      </c>
      <c r="H42" s="62">
        <v>18850</v>
      </c>
      <c r="I42" s="62">
        <v>162634.89999999999</v>
      </c>
      <c r="J42" s="62">
        <v>19450.790000000001</v>
      </c>
      <c r="K42" s="62">
        <f t="shared" si="22"/>
        <v>2877.4899999999907</v>
      </c>
      <c r="L42" s="62">
        <f t="shared" si="2"/>
        <v>61354.899999999994</v>
      </c>
      <c r="M42" s="62">
        <f t="shared" si="23"/>
        <v>-26725.900000000023</v>
      </c>
      <c r="N42" s="62">
        <f t="shared" si="24"/>
        <v>600.79000000000087</v>
      </c>
      <c r="O42" s="63">
        <f t="shared" si="25"/>
        <v>1.0180116214953658</v>
      </c>
      <c r="P42" s="63">
        <f t="shared" si="26"/>
        <v>1.0318721485411142</v>
      </c>
      <c r="Q42" s="63">
        <f t="shared" si="7"/>
        <v>1.6057948262243285</v>
      </c>
      <c r="R42" s="63">
        <f t="shared" si="8"/>
        <v>0.85886255233395703</v>
      </c>
      <c r="S42"/>
      <c r="T42"/>
      <c r="U42"/>
      <c r="V42"/>
      <c r="W42"/>
      <c r="X42"/>
      <c r="Y42"/>
    </row>
    <row r="43" ht="21" customHeight="1">
      <c r="A43" s="16"/>
      <c r="B43" s="17"/>
      <c r="C43" s="67" t="s">
        <v>103</v>
      </c>
      <c r="D43" s="78" t="s">
        <v>104</v>
      </c>
      <c r="E43" s="62"/>
      <c r="F43" s="62">
        <v>0</v>
      </c>
      <c r="G43" s="62"/>
      <c r="H43" s="62">
        <v>0</v>
      </c>
      <c r="I43" s="62">
        <v>806.94000000000005</v>
      </c>
      <c r="J43" s="62">
        <v>806.94000000000005</v>
      </c>
      <c r="K43" s="62">
        <f t="shared" si="22"/>
        <v>806.94000000000005</v>
      </c>
      <c r="L43" s="62">
        <f t="shared" si="2"/>
        <v>806.94000000000005</v>
      </c>
      <c r="M43" s="62">
        <f t="shared" si="23"/>
        <v>806.94000000000005</v>
      </c>
      <c r="N43" s="62">
        <f t="shared" si="24"/>
        <v>806.94000000000005</v>
      </c>
      <c r="O43" s="63" t="str">
        <f t="shared" si="25"/>
        <v/>
      </c>
      <c r="P43" s="63" t="str">
        <f t="shared" si="26"/>
        <v/>
      </c>
      <c r="Q43" s="63" t="str">
        <f t="shared" si="7"/>
        <v/>
      </c>
      <c r="R43" s="63" t="str">
        <f t="shared" si="8"/>
        <v/>
      </c>
      <c r="S43"/>
      <c r="T43"/>
      <c r="U43"/>
      <c r="V43"/>
      <c r="W43"/>
      <c r="X43"/>
      <c r="Y43"/>
      <c r="Z43"/>
    </row>
    <row r="44" ht="34.5" customHeight="1">
      <c r="A44" s="16"/>
      <c r="B44" s="17"/>
      <c r="C44" s="67" t="s">
        <v>105</v>
      </c>
      <c r="D44" s="78" t="s">
        <v>106</v>
      </c>
      <c r="E44" s="62">
        <v>52849.830000000002</v>
      </c>
      <c r="F44" s="62">
        <f>82177</f>
        <v>82177</v>
      </c>
      <c r="G44" s="62">
        <v>43550</v>
      </c>
      <c r="H44" s="62">
        <v>10400</v>
      </c>
      <c r="I44" s="62">
        <v>92781.479999999996</v>
      </c>
      <c r="J44" s="62">
        <v>11422.65</v>
      </c>
      <c r="K44" s="62">
        <f t="shared" si="22"/>
        <v>39931.649999999994</v>
      </c>
      <c r="L44" s="62">
        <f t="shared" si="2"/>
        <v>49231.479999999996</v>
      </c>
      <c r="M44" s="62">
        <f t="shared" si="23"/>
        <v>10604.479999999996</v>
      </c>
      <c r="N44" s="62">
        <f t="shared" si="24"/>
        <v>1022.6499999999996</v>
      </c>
      <c r="O44" s="63">
        <f t="shared" si="25"/>
        <v>1.7555681825277394</v>
      </c>
      <c r="P44" s="63">
        <f t="shared" si="26"/>
        <v>1.0983317307692306</v>
      </c>
      <c r="Q44" s="63">
        <f t="shared" si="7"/>
        <v>2.1304587830080366</v>
      </c>
      <c r="R44" s="63">
        <f t="shared" si="8"/>
        <v>1.1290443798143033</v>
      </c>
      <c r="S44"/>
      <c r="T44"/>
      <c r="U44"/>
      <c r="V44"/>
      <c r="W44"/>
      <c r="X44"/>
      <c r="Y44"/>
    </row>
    <row r="45" ht="18" customHeight="1">
      <c r="A45" s="16"/>
      <c r="B45" s="17"/>
      <c r="C45" s="67" t="s">
        <v>107</v>
      </c>
      <c r="D45" s="78" t="s">
        <v>108</v>
      </c>
      <c r="E45" s="62"/>
      <c r="F45" s="62">
        <v>0</v>
      </c>
      <c r="G45" s="62">
        <v>0</v>
      </c>
      <c r="H45" s="62">
        <v>0</v>
      </c>
      <c r="I45" s="62">
        <v>127.01000000000001</v>
      </c>
      <c r="J45" s="62">
        <v>0</v>
      </c>
      <c r="K45" s="62">
        <f t="shared" si="22"/>
        <v>127.01000000000001</v>
      </c>
      <c r="L45" s="62">
        <f t="shared" si="2"/>
        <v>127.01000000000001</v>
      </c>
      <c r="M45" s="62">
        <f t="shared" si="23"/>
        <v>127.01000000000001</v>
      </c>
      <c r="N45" s="62">
        <f t="shared" si="24"/>
        <v>0</v>
      </c>
      <c r="O45" s="63" t="str">
        <f t="shared" si="25"/>
        <v/>
      </c>
      <c r="P45" s="63" t="str">
        <f t="shared" si="26"/>
        <v/>
      </c>
      <c r="Q45" s="63" t="str">
        <f t="shared" si="7"/>
        <v/>
      </c>
      <c r="R45" s="63"/>
      <c r="S45"/>
      <c r="T45"/>
      <c r="U45"/>
      <c r="V45"/>
      <c r="W45"/>
      <c r="X45"/>
      <c r="Y45"/>
    </row>
    <row r="46" ht="18" customHeight="1">
      <c r="A46" s="16"/>
      <c r="B46" s="17"/>
      <c r="C46" s="45" t="s">
        <v>68</v>
      </c>
      <c r="D46" s="68" t="s">
        <v>69</v>
      </c>
      <c r="E46" s="62">
        <v>7771.6599999999999</v>
      </c>
      <c r="F46" s="62">
        <v>8857.5</v>
      </c>
      <c r="G46" s="62">
        <v>4428.4000000000005</v>
      </c>
      <c r="H46" s="62">
        <v>0</v>
      </c>
      <c r="I46" s="62">
        <v>10630.020000000002</v>
      </c>
      <c r="J46" s="62">
        <v>2173.5800000000004</v>
      </c>
      <c r="K46" s="62">
        <f t="shared" si="22"/>
        <v>2858.3600000000024</v>
      </c>
      <c r="L46" s="62">
        <f t="shared" si="2"/>
        <v>6201.6200000000017</v>
      </c>
      <c r="M46" s="62">
        <f t="shared" si="23"/>
        <v>1772.5200000000023</v>
      </c>
      <c r="N46" s="62">
        <f t="shared" si="24"/>
        <v>2173.5800000000004</v>
      </c>
      <c r="O46" s="63">
        <f t="shared" si="25"/>
        <v>1.3677927238196219</v>
      </c>
      <c r="P46" s="63" t="str">
        <f t="shared" si="26"/>
        <v/>
      </c>
      <c r="Q46" s="63">
        <f t="shared" si="7"/>
        <v>2.4004200162586939</v>
      </c>
      <c r="R46" s="63">
        <f t="shared" ref="R46:R82" si="27">IFERROR(I46/F46,"")</f>
        <v>1.2001151566469097</v>
      </c>
      <c r="S46"/>
      <c r="T46"/>
      <c r="U46"/>
      <c r="V46"/>
      <c r="W46"/>
      <c r="X46"/>
      <c r="Y46"/>
    </row>
    <row r="47" ht="18.75" customHeight="1">
      <c r="A47" s="16"/>
      <c r="B47" s="17"/>
      <c r="C47" s="45" t="s">
        <v>109</v>
      </c>
      <c r="D47" s="68" t="s">
        <v>110</v>
      </c>
      <c r="E47" s="62">
        <v>25968.230000000003</v>
      </c>
      <c r="F47" s="62">
        <v>46764</v>
      </c>
      <c r="G47" s="62">
        <v>31168</v>
      </c>
      <c r="H47" s="62">
        <v>3896</v>
      </c>
      <c r="I47" s="62">
        <v>45508.860000000008</v>
      </c>
      <c r="J47" s="62">
        <v>4943.0900000000011</v>
      </c>
      <c r="K47" s="62">
        <f t="shared" si="22"/>
        <v>19540.630000000005</v>
      </c>
      <c r="L47" s="62">
        <f t="shared" si="2"/>
        <v>14340.860000000008</v>
      </c>
      <c r="M47" s="62">
        <f t="shared" si="23"/>
        <v>-1255.1399999999921</v>
      </c>
      <c r="N47" s="62">
        <f t="shared" si="24"/>
        <v>1047.0900000000011</v>
      </c>
      <c r="O47" s="63">
        <f t="shared" si="25"/>
        <v>1.7524821676332967</v>
      </c>
      <c r="P47" s="63">
        <f t="shared" si="26"/>
        <v>1.2687602669404521</v>
      </c>
      <c r="Q47" s="63">
        <f t="shared" si="7"/>
        <v>1.4601148613963042</v>
      </c>
      <c r="R47" s="63">
        <f t="shared" si="27"/>
        <v>0.97316012317167067</v>
      </c>
      <c r="S47"/>
      <c r="T47"/>
      <c r="U47"/>
      <c r="V47"/>
      <c r="W47"/>
      <c r="X47"/>
      <c r="Y47"/>
    </row>
    <row r="48" ht="18" customHeight="1">
      <c r="A48" s="16"/>
      <c r="B48" s="16"/>
      <c r="C48" s="54"/>
      <c r="D48" s="76" t="s">
        <v>48</v>
      </c>
      <c r="E48" s="71">
        <f>SUM(E37:E47)</f>
        <v>645247.73999999999</v>
      </c>
      <c r="F48" s="71">
        <f t="shared" ref="F48:J48" si="28">SUM(F37:F47)</f>
        <v>1093513.6000000001</v>
      </c>
      <c r="G48" s="71">
        <f t="shared" si="28"/>
        <v>801425.09999999998</v>
      </c>
      <c r="H48" s="71">
        <f t="shared" si="28"/>
        <v>46066</v>
      </c>
      <c r="I48" s="71">
        <f t="shared" si="28"/>
        <v>964867.84000000008</v>
      </c>
      <c r="J48" s="71">
        <f t="shared" si="28"/>
        <v>66415.160000000003</v>
      </c>
      <c r="K48" s="71">
        <f t="shared" si="22"/>
        <v>319620.10000000009</v>
      </c>
      <c r="L48" s="71">
        <f t="shared" si="2"/>
        <v>163442.74000000011</v>
      </c>
      <c r="M48" s="71">
        <f t="shared" si="23"/>
        <v>-128645.76000000001</v>
      </c>
      <c r="N48" s="71">
        <f t="shared" si="24"/>
        <v>20349.160000000003</v>
      </c>
      <c r="O48" s="63">
        <f t="shared" si="25"/>
        <v>1.4953447802854762</v>
      </c>
      <c r="P48" s="63">
        <f t="shared" si="26"/>
        <v>1.4417392436938308</v>
      </c>
      <c r="Q48" s="63">
        <f t="shared" si="7"/>
        <v>1.2039401311488749</v>
      </c>
      <c r="R48" s="63">
        <f t="shared" si="27"/>
        <v>0.88235559210237535</v>
      </c>
      <c r="S48"/>
      <c r="T48"/>
      <c r="U48"/>
      <c r="V48"/>
      <c r="W48"/>
      <c r="X48"/>
      <c r="Y48"/>
      <c r="Z48"/>
    </row>
    <row r="49" ht="18" customHeight="1">
      <c r="A49" s="16" t="s">
        <v>111</v>
      </c>
      <c r="B49" s="17" t="s">
        <v>112</v>
      </c>
      <c r="C49" s="45" t="s">
        <v>66</v>
      </c>
      <c r="D49" s="68" t="s">
        <v>67</v>
      </c>
      <c r="E49" s="47">
        <v>2731.1399999999999</v>
      </c>
      <c r="F49" s="62">
        <v>123</v>
      </c>
      <c r="G49" s="62">
        <v>123</v>
      </c>
      <c r="H49" s="62">
        <v>0</v>
      </c>
      <c r="I49" s="47">
        <v>352.19999999999999</v>
      </c>
      <c r="J49" s="47">
        <v>0</v>
      </c>
      <c r="K49" s="62">
        <f t="shared" si="22"/>
        <v>-2378.9400000000001</v>
      </c>
      <c r="L49" s="62">
        <f t="shared" si="2"/>
        <v>229.19999999999999</v>
      </c>
      <c r="M49" s="62">
        <f t="shared" si="23"/>
        <v>229.19999999999999</v>
      </c>
      <c r="N49" s="62">
        <f t="shared" si="24"/>
        <v>0</v>
      </c>
      <c r="O49" s="63">
        <f t="shared" si="25"/>
        <v>0.1289571387772139</v>
      </c>
      <c r="P49" s="63" t="str">
        <f t="shared" si="26"/>
        <v/>
      </c>
      <c r="Q49" s="63">
        <f t="shared" si="7"/>
        <v>2.8634146341463413</v>
      </c>
      <c r="R49" s="63">
        <f t="shared" si="27"/>
        <v>2.8634146341463413</v>
      </c>
      <c r="S49"/>
      <c r="T49"/>
      <c r="U49"/>
      <c r="V49"/>
      <c r="W49"/>
      <c r="X49"/>
      <c r="Y49"/>
    </row>
    <row r="50" ht="18" customHeight="1">
      <c r="A50" s="16"/>
      <c r="B50" s="17"/>
      <c r="C50" s="54"/>
      <c r="D50" s="76" t="s">
        <v>48</v>
      </c>
      <c r="E50" s="71">
        <f>SUM(E49:E49)</f>
        <v>2731.1399999999999</v>
      </c>
      <c r="F50" s="71">
        <f t="shared" ref="F50:J50" si="29">SUM(F49:F49)</f>
        <v>123</v>
      </c>
      <c r="G50" s="71">
        <f t="shared" si="29"/>
        <v>123</v>
      </c>
      <c r="H50" s="71">
        <f t="shared" si="29"/>
        <v>0</v>
      </c>
      <c r="I50" s="71">
        <f t="shared" si="29"/>
        <v>352.19999999999999</v>
      </c>
      <c r="J50" s="71">
        <f t="shared" si="29"/>
        <v>0</v>
      </c>
      <c r="K50" s="71">
        <f t="shared" si="22"/>
        <v>-2378.9400000000001</v>
      </c>
      <c r="L50" s="71">
        <f t="shared" si="2"/>
        <v>229.19999999999999</v>
      </c>
      <c r="M50" s="71">
        <f t="shared" si="23"/>
        <v>229.19999999999999</v>
      </c>
      <c r="N50" s="71">
        <f t="shared" si="24"/>
        <v>0</v>
      </c>
      <c r="O50" s="63">
        <f t="shared" si="25"/>
        <v>0.1289571387772139</v>
      </c>
      <c r="P50" s="63" t="str">
        <f t="shared" si="26"/>
        <v/>
      </c>
      <c r="Q50" s="63">
        <f t="shared" si="7"/>
        <v>2.8634146341463413</v>
      </c>
      <c r="R50" s="63">
        <f t="shared" si="27"/>
        <v>2.8634146341463413</v>
      </c>
      <c r="S50"/>
      <c r="T50"/>
      <c r="U50"/>
      <c r="V50"/>
      <c r="W50"/>
      <c r="X50"/>
      <c r="Y50"/>
      <c r="Z50"/>
    </row>
    <row r="51" ht="18" customHeight="1">
      <c r="A51" s="44" t="s">
        <v>113</v>
      </c>
      <c r="B51" s="64" t="s">
        <v>114</v>
      </c>
      <c r="C51" s="45" t="s">
        <v>115</v>
      </c>
      <c r="D51" s="68" t="s">
        <v>116</v>
      </c>
      <c r="E51" s="47">
        <v>322219.47999999998</v>
      </c>
      <c r="F51" s="62">
        <v>596188</v>
      </c>
      <c r="G51" s="62">
        <v>336584.29999999999</v>
      </c>
      <c r="H51" s="62">
        <v>27786.5</v>
      </c>
      <c r="I51" s="47">
        <v>358990.38</v>
      </c>
      <c r="J51" s="47">
        <v>27257.25</v>
      </c>
      <c r="K51" s="62">
        <f t="shared" si="22"/>
        <v>36770.900000000023</v>
      </c>
      <c r="L51" s="62">
        <f t="shared" si="2"/>
        <v>22406.080000000016</v>
      </c>
      <c r="M51" s="62">
        <f t="shared" si="23"/>
        <v>-237197.62</v>
      </c>
      <c r="N51" s="62">
        <f t="shared" si="24"/>
        <v>-529.25</v>
      </c>
      <c r="O51" s="63">
        <f t="shared" si="25"/>
        <v>1.1141175573866609</v>
      </c>
      <c r="P51" s="63">
        <f t="shared" si="26"/>
        <v>0.98095298076404014</v>
      </c>
      <c r="Q51" s="63">
        <f t="shared" si="7"/>
        <v>1.0665689992076279</v>
      </c>
      <c r="R51" s="63">
        <f t="shared" si="27"/>
        <v>0.60214291465108327</v>
      </c>
      <c r="S51"/>
      <c r="T51"/>
      <c r="U51"/>
      <c r="V51"/>
      <c r="W51"/>
      <c r="X51"/>
      <c r="Y51"/>
    </row>
    <row r="52" ht="18" customHeight="1">
      <c r="A52" s="50"/>
      <c r="B52" s="69"/>
      <c r="C52" s="45" t="s">
        <v>117</v>
      </c>
      <c r="D52" s="68" t="s">
        <v>118</v>
      </c>
      <c r="E52" s="47">
        <v>217581.17000000001</v>
      </c>
      <c r="F52" s="62">
        <v>454879.5</v>
      </c>
      <c r="G52" s="62">
        <v>257895.70000000001</v>
      </c>
      <c r="H52" s="62">
        <v>40899.5</v>
      </c>
      <c r="I52" s="47">
        <v>259916.42000000001</v>
      </c>
      <c r="J52" s="47">
        <v>29841.170000000002</v>
      </c>
      <c r="K52" s="62">
        <f t="shared" si="22"/>
        <v>42335.25</v>
      </c>
      <c r="L52" s="62">
        <f t="shared" si="2"/>
        <v>2020.7200000000012</v>
      </c>
      <c r="M52" s="62">
        <f t="shared" si="23"/>
        <v>-194963.07999999999</v>
      </c>
      <c r="N52" s="62">
        <f t="shared" si="24"/>
        <v>-11058.329999999998</v>
      </c>
      <c r="O52" s="63">
        <f t="shared" si="25"/>
        <v>1.1945722141304782</v>
      </c>
      <c r="P52" s="63">
        <f t="shared" si="26"/>
        <v>0.72962187801806877</v>
      </c>
      <c r="Q52" s="63">
        <f t="shared" si="7"/>
        <v>1.0078354156350804</v>
      </c>
      <c r="R52" s="63">
        <f t="shared" si="27"/>
        <v>0.57139620492899768</v>
      </c>
      <c r="S52"/>
      <c r="T52"/>
      <c r="U52"/>
      <c r="V52"/>
      <c r="W52"/>
      <c r="X52"/>
      <c r="Y52"/>
    </row>
    <row r="53" ht="18" customHeight="1">
      <c r="A53" s="50"/>
      <c r="B53" s="69"/>
      <c r="C53" s="45" t="s">
        <v>119</v>
      </c>
      <c r="D53" s="68" t="s">
        <v>120</v>
      </c>
      <c r="E53" s="47">
        <v>2547066.4300000002</v>
      </c>
      <c r="F53" s="62">
        <v>4256276</v>
      </c>
      <c r="G53" s="62">
        <v>2705079.7999999998</v>
      </c>
      <c r="H53" s="62">
        <v>384680.59999999998</v>
      </c>
      <c r="I53" s="47">
        <v>2654067.96</v>
      </c>
      <c r="J53" s="47">
        <v>344009.56</v>
      </c>
      <c r="K53" s="62">
        <f t="shared" si="22"/>
        <v>107001.5299999998</v>
      </c>
      <c r="L53" s="62">
        <f t="shared" si="2"/>
        <v>-51011.839999999851</v>
      </c>
      <c r="M53" s="62">
        <f t="shared" si="23"/>
        <v>-1602208.04</v>
      </c>
      <c r="N53" s="62">
        <f t="shared" si="24"/>
        <v>-40671.039999999979</v>
      </c>
      <c r="O53" s="63">
        <f t="shared" si="25"/>
        <v>1.0420097131114086</v>
      </c>
      <c r="P53" s="63">
        <f t="shared" si="26"/>
        <v>0.89427322303230272</v>
      </c>
      <c r="Q53" s="63">
        <f t="shared" si="7"/>
        <v>0.98114220512089889</v>
      </c>
      <c r="R53" s="63">
        <f t="shared" si="27"/>
        <v>0.6235657556041948</v>
      </c>
      <c r="S53"/>
      <c r="T53"/>
      <c r="U53"/>
      <c r="V53"/>
      <c r="W53"/>
      <c r="X53"/>
      <c r="Y53"/>
    </row>
    <row r="54" ht="18" customHeight="1">
      <c r="A54" s="50"/>
      <c r="B54" s="69"/>
      <c r="C54" s="45" t="s">
        <v>121</v>
      </c>
      <c r="D54" s="68" t="s">
        <v>122</v>
      </c>
      <c r="E54" s="47">
        <v>864.98000000000002</v>
      </c>
      <c r="F54" s="62">
        <v>1182.8</v>
      </c>
      <c r="G54" s="62">
        <v>802</v>
      </c>
      <c r="H54" s="62">
        <v>200</v>
      </c>
      <c r="I54" s="47">
        <v>541.27999999999997</v>
      </c>
      <c r="J54" s="47">
        <v>57.5</v>
      </c>
      <c r="K54" s="62">
        <f t="shared" si="22"/>
        <v>-323.70000000000005</v>
      </c>
      <c r="L54" s="62">
        <f t="shared" si="2"/>
        <v>-260.72000000000003</v>
      </c>
      <c r="M54" s="62">
        <f t="shared" si="23"/>
        <v>-641.51999999999998</v>
      </c>
      <c r="N54" s="62">
        <f t="shared" si="24"/>
        <v>-142.5</v>
      </c>
      <c r="O54" s="63">
        <f t="shared" si="25"/>
        <v>0.62577169414321709</v>
      </c>
      <c r="P54" s="63">
        <f t="shared" si="26"/>
        <v>0.28749999999999998</v>
      </c>
      <c r="Q54" s="63">
        <f t="shared" si="7"/>
        <v>0.67491271820448873</v>
      </c>
      <c r="R54" s="63">
        <f t="shared" si="27"/>
        <v>0.45762597226919172</v>
      </c>
      <c r="S54"/>
      <c r="T54"/>
      <c r="U54"/>
      <c r="V54"/>
      <c r="W54"/>
      <c r="X54"/>
      <c r="Y54"/>
    </row>
    <row r="55" ht="18" customHeight="1">
      <c r="A55" s="52"/>
      <c r="B55" s="70"/>
      <c r="C55" s="87"/>
      <c r="D55" s="88" t="s">
        <v>48</v>
      </c>
      <c r="E55" s="71">
        <f>SUM(E51:E54)</f>
        <v>3087732.0600000001</v>
      </c>
      <c r="F55" s="71">
        <f t="shared" ref="F55:J55" si="30">SUM(F51:F54)</f>
        <v>5308526.2999999998</v>
      </c>
      <c r="G55" s="71">
        <f t="shared" si="30"/>
        <v>3300361.7999999998</v>
      </c>
      <c r="H55" s="71">
        <f t="shared" si="30"/>
        <v>453566.59999999998</v>
      </c>
      <c r="I55" s="71">
        <f t="shared" si="30"/>
        <v>3273516.0399999996</v>
      </c>
      <c r="J55" s="71">
        <f t="shared" si="30"/>
        <v>401165.47999999998</v>
      </c>
      <c r="K55" s="71">
        <f t="shared" si="22"/>
        <v>185783.97999999952</v>
      </c>
      <c r="L55" s="71">
        <f t="shared" si="2"/>
        <v>-26845.760000000242</v>
      </c>
      <c r="M55" s="71">
        <f t="shared" si="23"/>
        <v>-2035010.2600000002</v>
      </c>
      <c r="N55" s="71">
        <f t="shared" si="24"/>
        <v>-52401.119999999995</v>
      </c>
      <c r="O55" s="63">
        <f t="shared" si="25"/>
        <v>1.0601684266606992</v>
      </c>
      <c r="P55" s="63">
        <f t="shared" si="26"/>
        <v>0.88446874174597512</v>
      </c>
      <c r="Q55" s="63">
        <f t="shared" si="7"/>
        <v>0.99186581301480337</v>
      </c>
      <c r="R55" s="63">
        <f t="shared" si="27"/>
        <v>0.61665250485808076</v>
      </c>
      <c r="S55"/>
      <c r="T55"/>
      <c r="U55"/>
      <c r="V55"/>
      <c r="W55"/>
      <c r="X55"/>
      <c r="Y55"/>
      <c r="Z55"/>
    </row>
    <row r="56" ht="18" customHeight="1">
      <c r="A56" s="17">
        <v>991</v>
      </c>
      <c r="B56" s="17" t="s">
        <v>123</v>
      </c>
      <c r="C56" s="67" t="s">
        <v>124</v>
      </c>
      <c r="D56" s="78" t="s">
        <v>125</v>
      </c>
      <c r="E56" s="47">
        <v>36119.370000000003</v>
      </c>
      <c r="F56" s="62">
        <v>67760.300000000003</v>
      </c>
      <c r="G56" s="62">
        <v>43100</v>
      </c>
      <c r="H56" s="62">
        <v>5600</v>
      </c>
      <c r="I56" s="47">
        <v>42586.75</v>
      </c>
      <c r="J56" s="47">
        <v>5439.5900000000001</v>
      </c>
      <c r="K56" s="62">
        <f t="shared" si="22"/>
        <v>6467.3799999999974</v>
      </c>
      <c r="L56" s="62">
        <f t="shared" si="2"/>
        <v>-513.25</v>
      </c>
      <c r="M56" s="62">
        <f t="shared" si="23"/>
        <v>-25173.550000000003</v>
      </c>
      <c r="N56" s="62">
        <f t="shared" si="24"/>
        <v>-160.40999999999985</v>
      </c>
      <c r="O56" s="63">
        <f t="shared" si="25"/>
        <v>1.179055725501303</v>
      </c>
      <c r="P56" s="63">
        <f t="shared" si="26"/>
        <v>0.97135535714285715</v>
      </c>
      <c r="Q56" s="63">
        <f t="shared" si="7"/>
        <v>0.98809164733178656</v>
      </c>
      <c r="R56" s="63">
        <f t="shared" si="27"/>
        <v>0.62849116665658211</v>
      </c>
      <c r="S56"/>
      <c r="T56"/>
      <c r="U56"/>
      <c r="V56"/>
      <c r="W56"/>
      <c r="X56"/>
      <c r="Y56"/>
    </row>
    <row r="57" ht="19.5" customHeight="1">
      <c r="A57" s="17"/>
      <c r="B57" s="17"/>
      <c r="C57" s="45" t="s">
        <v>126</v>
      </c>
      <c r="D57" s="68" t="s">
        <v>127</v>
      </c>
      <c r="E57" s="47">
        <v>6224.6499999999996</v>
      </c>
      <c r="F57" s="62">
        <v>0</v>
      </c>
      <c r="G57" s="62"/>
      <c r="H57" s="62">
        <v>0</v>
      </c>
      <c r="I57" s="47">
        <v>6179.6099999999997</v>
      </c>
      <c r="J57" s="47">
        <v>0</v>
      </c>
      <c r="K57" s="62">
        <f t="shared" si="22"/>
        <v>-45.039999999999964</v>
      </c>
      <c r="L57" s="62">
        <f t="shared" si="2"/>
        <v>6179.6099999999997</v>
      </c>
      <c r="M57" s="62">
        <f t="shared" si="23"/>
        <v>6179.6099999999997</v>
      </c>
      <c r="N57" s="62">
        <f t="shared" si="24"/>
        <v>0</v>
      </c>
      <c r="O57" s="63">
        <f t="shared" si="25"/>
        <v>0.99276425180532235</v>
      </c>
      <c r="P57" s="63" t="str">
        <f t="shared" si="26"/>
        <v/>
      </c>
      <c r="Q57" s="63" t="str">
        <f t="shared" si="7"/>
        <v/>
      </c>
      <c r="R57" s="63" t="str">
        <f t="shared" si="27"/>
        <v/>
      </c>
      <c r="S57"/>
      <c r="T57"/>
      <c r="U57"/>
      <c r="V57"/>
      <c r="W57"/>
      <c r="X57"/>
      <c r="Y57"/>
    </row>
    <row r="58" ht="15.75" customHeight="1">
      <c r="A58" s="17"/>
      <c r="B58" s="17"/>
      <c r="C58" s="54"/>
      <c r="D58" s="76" t="s">
        <v>48</v>
      </c>
      <c r="E58" s="71">
        <f t="shared" ref="E58:E61" si="31">SUM(E56:E57)</f>
        <v>42344.020000000004</v>
      </c>
      <c r="F58" s="71">
        <f t="shared" ref="F58:J58" si="32">SUM(F56:F57)</f>
        <v>67760.300000000003</v>
      </c>
      <c r="G58" s="71">
        <f t="shared" si="32"/>
        <v>43100</v>
      </c>
      <c r="H58" s="71">
        <f t="shared" si="32"/>
        <v>5600</v>
      </c>
      <c r="I58" s="71">
        <f t="shared" si="32"/>
        <v>48766.360000000001</v>
      </c>
      <c r="J58" s="71">
        <f t="shared" si="32"/>
        <v>5439.5900000000001</v>
      </c>
      <c r="K58" s="71">
        <f t="shared" si="22"/>
        <v>6422.3399999999965</v>
      </c>
      <c r="L58" s="71">
        <f t="shared" si="2"/>
        <v>5666.3600000000006</v>
      </c>
      <c r="M58" s="71">
        <f t="shared" si="23"/>
        <v>-18993.940000000002</v>
      </c>
      <c r="N58" s="71">
        <f t="shared" si="24"/>
        <v>-160.40999999999985</v>
      </c>
      <c r="O58" s="63">
        <f t="shared" si="25"/>
        <v>1.1516705310454698</v>
      </c>
      <c r="P58" s="63">
        <f t="shared" si="26"/>
        <v>0.97135535714285715</v>
      </c>
      <c r="Q58" s="63">
        <f t="shared" si="7"/>
        <v>1.1314700696055684</v>
      </c>
      <c r="R58" s="72">
        <f t="shared" si="27"/>
        <v>0.71968925757412527</v>
      </c>
      <c r="S58"/>
      <c r="T58"/>
      <c r="U58"/>
      <c r="V58"/>
      <c r="W58"/>
      <c r="X58"/>
      <c r="Y58"/>
      <c r="Z58"/>
    </row>
    <row r="59" ht="18" customHeight="1">
      <c r="A59" s="16" t="s">
        <v>128</v>
      </c>
      <c r="B59" s="17" t="s">
        <v>129</v>
      </c>
      <c r="C59" s="45" t="s">
        <v>130</v>
      </c>
      <c r="D59" s="68" t="s">
        <v>131</v>
      </c>
      <c r="E59" s="47">
        <v>8839.4300000000003</v>
      </c>
      <c r="F59" s="62">
        <f>10532.9+16721.4</f>
        <v>27254.300000000003</v>
      </c>
      <c r="G59" s="62">
        <v>24531.599999999999</v>
      </c>
      <c r="H59" s="62">
        <v>236.09999999999999</v>
      </c>
      <c r="I59" s="47">
        <v>21852.969999999998</v>
      </c>
      <c r="J59" s="89">
        <v>313.5</v>
      </c>
      <c r="K59" s="62">
        <f t="shared" si="22"/>
        <v>13013.539999999997</v>
      </c>
      <c r="L59" s="62">
        <f t="shared" si="2"/>
        <v>-2678.630000000001</v>
      </c>
      <c r="M59" s="62">
        <f t="shared" si="23"/>
        <v>-5401.3300000000054</v>
      </c>
      <c r="N59" s="62">
        <f t="shared" si="24"/>
        <v>77.400000000000006</v>
      </c>
      <c r="O59" s="72">
        <f t="shared" si="25"/>
        <v>2.4722148373820478</v>
      </c>
      <c r="P59" s="72">
        <f t="shared" si="26"/>
        <v>1.3278271918678526</v>
      </c>
      <c r="Q59" s="72">
        <f t="shared" si="7"/>
        <v>0.89080899737481445</v>
      </c>
      <c r="R59" s="63">
        <f t="shared" si="27"/>
        <v>0.80181732790788962</v>
      </c>
      <c r="S59"/>
      <c r="T59"/>
      <c r="U59"/>
      <c r="V59"/>
      <c r="W59"/>
      <c r="X59"/>
      <c r="Y59"/>
    </row>
    <row r="60" ht="18" customHeight="1">
      <c r="A60" s="16"/>
      <c r="B60" s="17"/>
      <c r="C60" s="45" t="s">
        <v>132</v>
      </c>
      <c r="D60" s="68" t="s">
        <v>133</v>
      </c>
      <c r="E60" s="47">
        <v>45363.400000000001</v>
      </c>
      <c r="F60" s="62">
        <v>50222.800000000003</v>
      </c>
      <c r="G60" s="62">
        <v>20200</v>
      </c>
      <c r="H60" s="62">
        <v>6550</v>
      </c>
      <c r="I60" s="90">
        <v>41649.260000000002</v>
      </c>
      <c r="J60" s="91">
        <v>10064.540000000001</v>
      </c>
      <c r="K60" s="92">
        <f t="shared" si="22"/>
        <v>-3714.1399999999994</v>
      </c>
      <c r="L60" s="62">
        <f t="shared" si="2"/>
        <v>21449.260000000002</v>
      </c>
      <c r="M60" s="62">
        <f t="shared" si="23"/>
        <v>-8573.5400000000009</v>
      </c>
      <c r="N60" s="62">
        <f t="shared" si="24"/>
        <v>3514.5400000000009</v>
      </c>
      <c r="O60" s="72">
        <f t="shared" si="25"/>
        <v>0.91812474373613973</v>
      </c>
      <c r="P60" s="72">
        <f t="shared" si="26"/>
        <v>1.5365709923664124</v>
      </c>
      <c r="Q60" s="72">
        <f t="shared" si="7"/>
        <v>2.0618445544554458</v>
      </c>
      <c r="R60" s="63">
        <f t="shared" si="27"/>
        <v>0.82928988427566763</v>
      </c>
      <c r="S60"/>
      <c r="T60"/>
      <c r="U60"/>
      <c r="V60"/>
      <c r="W60"/>
      <c r="X60"/>
      <c r="Y60"/>
    </row>
    <row r="61" ht="18" customHeight="1">
      <c r="A61" s="16"/>
      <c r="B61" s="17"/>
      <c r="C61" s="54"/>
      <c r="D61" s="88" t="s">
        <v>48</v>
      </c>
      <c r="E61" s="84">
        <f t="shared" si="31"/>
        <v>54202.830000000002</v>
      </c>
      <c r="F61" s="71">
        <f t="shared" ref="F61:J61" si="33">SUM(F59:F60)</f>
        <v>77477.100000000006</v>
      </c>
      <c r="G61" s="71">
        <f t="shared" si="33"/>
        <v>44731.599999999999</v>
      </c>
      <c r="H61" s="71">
        <f t="shared" si="33"/>
        <v>6786.1000000000004</v>
      </c>
      <c r="I61" s="71">
        <f t="shared" si="33"/>
        <v>63502.229999999996</v>
      </c>
      <c r="J61" s="93">
        <f t="shared" si="33"/>
        <v>10378.040000000001</v>
      </c>
      <c r="K61" s="71">
        <f t="shared" si="22"/>
        <v>9299.3999999999942</v>
      </c>
      <c r="L61" s="71">
        <f t="shared" si="2"/>
        <v>18770.629999999997</v>
      </c>
      <c r="M61" s="71">
        <f t="shared" si="23"/>
        <v>-13974.87000000001</v>
      </c>
      <c r="N61" s="71">
        <f t="shared" si="24"/>
        <v>3591.9400000000005</v>
      </c>
      <c r="O61" s="63">
        <f t="shared" si="25"/>
        <v>1.1715666875696342</v>
      </c>
      <c r="P61" s="63">
        <f t="shared" si="26"/>
        <v>1.5293084393097656</v>
      </c>
      <c r="Q61" s="63">
        <f t="shared" si="7"/>
        <v>1.4196279587584615</v>
      </c>
      <c r="R61" s="63">
        <f t="shared" si="27"/>
        <v>0.81962579910709088</v>
      </c>
      <c r="S61"/>
      <c r="T61"/>
      <c r="U61"/>
      <c r="V61"/>
      <c r="W61"/>
      <c r="X61"/>
      <c r="Y61"/>
      <c r="Z61"/>
    </row>
    <row r="62" ht="18" customHeight="1">
      <c r="A62" s="17"/>
      <c r="B62" s="17" t="s">
        <v>134</v>
      </c>
      <c r="C62" s="45" t="s">
        <v>135</v>
      </c>
      <c r="D62" s="77" t="s">
        <v>136</v>
      </c>
      <c r="E62" s="47">
        <v>195.08000000000001</v>
      </c>
      <c r="F62" s="62">
        <v>254.5</v>
      </c>
      <c r="G62" s="62">
        <v>169.59999999999999</v>
      </c>
      <c r="H62" s="62">
        <v>21.199999999999999</v>
      </c>
      <c r="I62" s="47">
        <v>245.69</v>
      </c>
      <c r="J62" s="47">
        <v>21.640000000000001</v>
      </c>
      <c r="K62" s="62">
        <f t="shared" si="22"/>
        <v>50.609999999999985</v>
      </c>
      <c r="L62" s="62">
        <f t="shared" si="2"/>
        <v>76.090000000000003</v>
      </c>
      <c r="M62" s="62">
        <f t="shared" si="23"/>
        <v>-8.8100000000000023</v>
      </c>
      <c r="N62" s="62">
        <f t="shared" si="24"/>
        <v>0.44000000000000128</v>
      </c>
      <c r="O62" s="63">
        <f t="shared" si="25"/>
        <v>1.2594320278859954</v>
      </c>
      <c r="P62" s="63">
        <f t="shared" si="26"/>
        <v>1.0207547169811322</v>
      </c>
      <c r="Q62" s="63">
        <f t="shared" si="7"/>
        <v>1.4486438679245284</v>
      </c>
      <c r="R62" s="63">
        <f t="shared" si="27"/>
        <v>0.96538310412573669</v>
      </c>
      <c r="S62"/>
      <c r="T62"/>
      <c r="U62"/>
      <c r="V62"/>
      <c r="W62"/>
      <c r="X62"/>
      <c r="Y62"/>
    </row>
    <row r="63" ht="18" customHeight="1">
      <c r="A63" s="17"/>
      <c r="B63" s="17"/>
      <c r="C63" s="45" t="s">
        <v>97</v>
      </c>
      <c r="D63" s="68" t="s">
        <v>137</v>
      </c>
      <c r="E63" s="47">
        <v>278.78000000000003</v>
      </c>
      <c r="F63" s="62">
        <v>49.399999999999999</v>
      </c>
      <c r="G63" s="62">
        <v>49.399999999999999</v>
      </c>
      <c r="H63" s="62">
        <v>0</v>
      </c>
      <c r="I63" s="47">
        <v>676.18000000000006</v>
      </c>
      <c r="J63" s="47">
        <v>36.960000000000001</v>
      </c>
      <c r="K63" s="62">
        <f t="shared" si="22"/>
        <v>397.40000000000003</v>
      </c>
      <c r="L63" s="62">
        <f t="shared" si="2"/>
        <v>626.78000000000009</v>
      </c>
      <c r="M63" s="62">
        <f t="shared" si="23"/>
        <v>626.78000000000009</v>
      </c>
      <c r="N63" s="62">
        <f t="shared" si="24"/>
        <v>36.960000000000001</v>
      </c>
      <c r="O63" s="63">
        <f t="shared" si="25"/>
        <v>2.4254968075184733</v>
      </c>
      <c r="P63" s="63" t="str">
        <f t="shared" si="26"/>
        <v/>
      </c>
      <c r="Q63" s="63">
        <f t="shared" si="7"/>
        <v>13.687854251012148</v>
      </c>
      <c r="R63" s="63">
        <f t="shared" si="27"/>
        <v>13.687854251012148</v>
      </c>
      <c r="S63"/>
      <c r="T63"/>
      <c r="U63"/>
      <c r="V63"/>
      <c r="W63"/>
      <c r="X63"/>
      <c r="Y63"/>
    </row>
    <row r="64" ht="14.25" customHeight="1">
      <c r="A64" s="17"/>
      <c r="B64" s="17"/>
      <c r="C64" s="45" t="s">
        <v>66</v>
      </c>
      <c r="D64" s="68" t="s">
        <v>67</v>
      </c>
      <c r="E64" s="47">
        <v>7387.5</v>
      </c>
      <c r="F64" s="62">
        <v>0</v>
      </c>
      <c r="G64" s="62"/>
      <c r="H64" s="62">
        <v>0</v>
      </c>
      <c r="I64" s="47">
        <v>0</v>
      </c>
      <c r="J64" s="47">
        <v>0</v>
      </c>
      <c r="K64" s="62">
        <f t="shared" si="22"/>
        <v>-7387.5</v>
      </c>
      <c r="L64" s="62">
        <f t="shared" si="2"/>
        <v>0</v>
      </c>
      <c r="M64" s="62">
        <f t="shared" si="23"/>
        <v>0</v>
      </c>
      <c r="N64" s="62">
        <f t="shared" si="24"/>
        <v>0</v>
      </c>
      <c r="O64" s="63">
        <f t="shared" si="25"/>
        <v>0</v>
      </c>
      <c r="P64" s="63" t="str">
        <f t="shared" si="26"/>
        <v/>
      </c>
      <c r="Q64" s="63" t="str">
        <f t="shared" si="7"/>
        <v/>
      </c>
      <c r="R64" s="63" t="str">
        <f t="shared" si="27"/>
        <v/>
      </c>
      <c r="S64"/>
      <c r="T64"/>
      <c r="U64"/>
      <c r="V64"/>
      <c r="W64"/>
      <c r="X64"/>
      <c r="Y64"/>
    </row>
    <row r="65" ht="17.25" customHeight="1">
      <c r="A65" s="17"/>
      <c r="B65" s="17"/>
      <c r="C65" s="45" t="s">
        <v>138</v>
      </c>
      <c r="D65" s="68" t="s">
        <v>139</v>
      </c>
      <c r="E65" s="47">
        <v>71487.949999998309</v>
      </c>
      <c r="F65" s="62">
        <f>965.4+700+22878.34</f>
        <v>24543.740000000002</v>
      </c>
      <c r="G65" s="62">
        <v>23618.340000000091</v>
      </c>
      <c r="H65" s="62">
        <v>80</v>
      </c>
      <c r="I65" s="47">
        <v>60849.789999999091</v>
      </c>
      <c r="J65" s="47">
        <v>2834.7600000000411</v>
      </c>
      <c r="K65" s="62">
        <f t="shared" si="22"/>
        <v>-10638.159999999218</v>
      </c>
      <c r="L65" s="62">
        <f t="shared" si="2"/>
        <v>37231.449999999</v>
      </c>
      <c r="M65" s="62">
        <f t="shared" si="23"/>
        <v>36306.049999999086</v>
      </c>
      <c r="N65" s="62">
        <f t="shared" si="24"/>
        <v>2754.7600000000411</v>
      </c>
      <c r="O65" s="94">
        <f t="shared" si="25"/>
        <v>0.85118946619675806</v>
      </c>
      <c r="P65" s="94">
        <f t="shared" si="26"/>
        <v>35.434500000000511</v>
      </c>
      <c r="Q65" s="94">
        <f t="shared" si="7"/>
        <v>2.5763787802190525</v>
      </c>
      <c r="R65" s="94">
        <f t="shared" si="27"/>
        <v>2.4792386979327148</v>
      </c>
      <c r="S65"/>
      <c r="T65"/>
      <c r="U65"/>
      <c r="V65"/>
      <c r="W65"/>
      <c r="X65"/>
      <c r="Y65"/>
    </row>
    <row r="66" ht="18" customHeight="1">
      <c r="A66" s="17"/>
      <c r="B66" s="17"/>
      <c r="C66" s="45" t="s">
        <v>68</v>
      </c>
      <c r="D66" s="68" t="s">
        <v>69</v>
      </c>
      <c r="E66" s="47">
        <v>68156.010000000111</v>
      </c>
      <c r="F66" s="62">
        <f>128615.8-4651.7</f>
        <v>123964.10000000001</v>
      </c>
      <c r="G66" s="62">
        <v>79830.5</v>
      </c>
      <c r="H66" s="62">
        <v>9422.6000000000022</v>
      </c>
      <c r="I66" s="47">
        <v>92957.53999999995</v>
      </c>
      <c r="J66" s="47">
        <v>12999.530000000001</v>
      </c>
      <c r="K66" s="62">
        <f t="shared" si="22"/>
        <v>24801.529999999839</v>
      </c>
      <c r="L66" s="62">
        <f t="shared" si="2"/>
        <v>13127.03999999995</v>
      </c>
      <c r="M66" s="62">
        <f t="shared" si="23"/>
        <v>-31006.560000000056</v>
      </c>
      <c r="N66" s="62">
        <f t="shared" si="24"/>
        <v>3576.9299999999985</v>
      </c>
      <c r="O66" s="63">
        <f t="shared" si="25"/>
        <v>1.3638935143063655</v>
      </c>
      <c r="P66" s="63">
        <f t="shared" si="26"/>
        <v>1.379611784433171</v>
      </c>
      <c r="Q66" s="63">
        <f t="shared" si="7"/>
        <v>1.1644363996216978</v>
      </c>
      <c r="R66" s="63">
        <f t="shared" si="27"/>
        <v>0.74987468146019653</v>
      </c>
      <c r="S66"/>
      <c r="T66"/>
      <c r="U66"/>
      <c r="V66"/>
      <c r="W66"/>
      <c r="X66"/>
      <c r="Y66"/>
    </row>
    <row r="67" ht="18" customHeight="1">
      <c r="A67" s="17"/>
      <c r="B67" s="17"/>
      <c r="C67" s="45" t="s">
        <v>140</v>
      </c>
      <c r="D67" s="68" t="s">
        <v>141</v>
      </c>
      <c r="E67" s="47">
        <v>-5495.1099999999997</v>
      </c>
      <c r="F67" s="62">
        <v>0</v>
      </c>
      <c r="G67" s="62"/>
      <c r="H67" s="62">
        <v>0</v>
      </c>
      <c r="I67" s="47">
        <v>-241.10900000000001</v>
      </c>
      <c r="J67" s="47">
        <v>-124.89000000000001</v>
      </c>
      <c r="K67" s="62">
        <f t="shared" si="22"/>
        <v>5254.0009999999993</v>
      </c>
      <c r="L67" s="62">
        <f>I67-G67</f>
        <v>-241.10900000000001</v>
      </c>
      <c r="M67" s="62">
        <f t="shared" si="23"/>
        <v>-241.10900000000001</v>
      </c>
      <c r="N67" s="62">
        <f t="shared" si="24"/>
        <v>-124.89000000000001</v>
      </c>
      <c r="O67" s="63">
        <f t="shared" si="25"/>
        <v>0.043877010651288149</v>
      </c>
      <c r="P67" s="63" t="str">
        <f t="shared" si="26"/>
        <v/>
      </c>
      <c r="Q67" s="63" t="str">
        <f>IFERROR(I67/G67,"")</f>
        <v/>
      </c>
      <c r="R67" s="63" t="str">
        <f t="shared" si="27"/>
        <v/>
      </c>
      <c r="S67"/>
      <c r="T67"/>
      <c r="U67"/>
      <c r="V67"/>
      <c r="W67"/>
      <c r="X67"/>
      <c r="Y67"/>
    </row>
    <row r="68" s="1" customFormat="1" ht="18" customHeight="1">
      <c r="A68" s="59"/>
      <c r="B68" s="59"/>
      <c r="C68" s="60" t="s">
        <v>142</v>
      </c>
      <c r="D68" s="95" t="s">
        <v>143</v>
      </c>
      <c r="E68" s="62">
        <f>1485.76+378.18</f>
        <v>1863.9400000000001</v>
      </c>
      <c r="F68" s="62">
        <v>0</v>
      </c>
      <c r="G68" s="62"/>
      <c r="H68" s="62">
        <v>0</v>
      </c>
      <c r="I68" s="62">
        <v>4932.8400000000001</v>
      </c>
      <c r="J68" s="62">
        <v>4108.8400000000001</v>
      </c>
      <c r="K68" s="62">
        <f t="shared" si="22"/>
        <v>3068.9000000000001</v>
      </c>
      <c r="L68" s="62">
        <f t="shared" si="2"/>
        <v>4932.8400000000001</v>
      </c>
      <c r="M68" s="62">
        <f t="shared" si="23"/>
        <v>4932.8400000000001</v>
      </c>
      <c r="N68" s="62">
        <f t="shared" si="24"/>
        <v>4108.8400000000001</v>
      </c>
      <c r="O68" s="63">
        <f t="shared" si="25"/>
        <v>2.6464585769928215</v>
      </c>
      <c r="P68" s="63" t="str">
        <f t="shared" si="26"/>
        <v/>
      </c>
      <c r="Q68" s="63" t="str">
        <f t="shared" si="7"/>
        <v/>
      </c>
      <c r="R68" s="63" t="str">
        <f t="shared" si="27"/>
        <v/>
      </c>
      <c r="S68"/>
      <c r="T68"/>
      <c r="U68"/>
      <c r="V68"/>
      <c r="W68"/>
      <c r="X68"/>
      <c r="Y68"/>
      <c r="Z68"/>
    </row>
    <row r="69" ht="17.25" customHeight="1">
      <c r="A69" s="17"/>
      <c r="B69" s="17"/>
      <c r="C69" s="45" t="s">
        <v>144</v>
      </c>
      <c r="D69" s="68" t="s">
        <v>145</v>
      </c>
      <c r="E69" s="47">
        <v>795.92999999999995</v>
      </c>
      <c r="F69" s="62">
        <v>0</v>
      </c>
      <c r="G69" s="62"/>
      <c r="H69" s="62">
        <v>0</v>
      </c>
      <c r="I69" s="47">
        <v>596.57000000000005</v>
      </c>
      <c r="J69" s="47">
        <v>-22.98</v>
      </c>
      <c r="K69" s="62">
        <f t="shared" si="22"/>
        <v>-199.3599999999999</v>
      </c>
      <c r="L69" s="62">
        <f t="shared" ref="L69:L82" si="34">I69-G69</f>
        <v>596.57000000000005</v>
      </c>
      <c r="M69" s="62">
        <f t="shared" si="23"/>
        <v>596.57000000000005</v>
      </c>
      <c r="N69" s="62">
        <f t="shared" si="24"/>
        <v>-22.98</v>
      </c>
      <c r="O69" s="63">
        <f t="shared" si="25"/>
        <v>0.74952571206010588</v>
      </c>
      <c r="P69" s="63" t="str">
        <f t="shared" si="26"/>
        <v/>
      </c>
      <c r="Q69" s="63" t="str">
        <f t="shared" ref="Q69:Q82" si="35">IFERROR(I69/G69,"")</f>
        <v/>
      </c>
      <c r="R69" s="63" t="str">
        <f t="shared" si="27"/>
        <v/>
      </c>
      <c r="S69"/>
      <c r="T69"/>
      <c r="U69"/>
      <c r="V69"/>
      <c r="W69"/>
      <c r="X69"/>
      <c r="Y69"/>
    </row>
    <row r="70" ht="15.75">
      <c r="A70" s="17"/>
      <c r="B70" s="17"/>
      <c r="C70" s="54"/>
      <c r="D70" s="76" t="s">
        <v>146</v>
      </c>
      <c r="E70" s="71">
        <f>SUM(E62:E69)</f>
        <v>144670.07999999844</v>
      </c>
      <c r="F70" s="71">
        <f t="shared" ref="F70:J70" si="36">SUM(F62:F69)</f>
        <v>148811.74000000002</v>
      </c>
      <c r="G70" s="71">
        <f t="shared" si="36"/>
        <v>103667.84000000008</v>
      </c>
      <c r="H70" s="71">
        <f t="shared" si="36"/>
        <v>9523.8000000000029</v>
      </c>
      <c r="I70" s="71">
        <f t="shared" si="36"/>
        <v>160017.50099999906</v>
      </c>
      <c r="J70" s="71">
        <f t="shared" si="36"/>
        <v>19853.860000000041</v>
      </c>
      <c r="K70" s="71">
        <f t="shared" si="22"/>
        <v>15347.421000000613</v>
      </c>
      <c r="L70" s="71">
        <f t="shared" si="34"/>
        <v>56349.660999998974</v>
      </c>
      <c r="M70" s="71">
        <f t="shared" si="23"/>
        <v>11205.760999999038</v>
      </c>
      <c r="N70" s="71">
        <f t="shared" si="24"/>
        <v>10330.060000000038</v>
      </c>
      <c r="O70" s="48">
        <f t="shared" si="25"/>
        <v>1.1060856605595351</v>
      </c>
      <c r="P70" s="48">
        <f t="shared" si="26"/>
        <v>2.0846573846573881</v>
      </c>
      <c r="Q70" s="48">
        <f t="shared" si="35"/>
        <v>1.5435597095492577</v>
      </c>
      <c r="R70" s="72">
        <f t="shared" si="27"/>
        <v>1.0753015924684373</v>
      </c>
      <c r="S70"/>
      <c r="T70"/>
      <c r="U70"/>
      <c r="V70"/>
      <c r="W70"/>
      <c r="X70"/>
      <c r="Y70"/>
      <c r="Z70"/>
    </row>
    <row r="71" s="96" customFormat="1" ht="23.25" customHeight="1">
      <c r="A71" s="97" t="s">
        <v>147</v>
      </c>
      <c r="B71" s="97"/>
      <c r="C71" s="98"/>
      <c r="D71" s="97"/>
      <c r="E71" s="41">
        <f>E5+E21</f>
        <v>15538509.716666661</v>
      </c>
      <c r="F71" s="41">
        <f t="shared" ref="F71:K71" si="37">F5+F21</f>
        <v>32249732.84</v>
      </c>
      <c r="G71" s="41">
        <f t="shared" si="37"/>
        <v>19593279.240000002</v>
      </c>
      <c r="H71" s="41">
        <f t="shared" si="37"/>
        <v>3247641.6999999997</v>
      </c>
      <c r="I71" s="41">
        <f t="shared" si="37"/>
        <v>19882952.390999999</v>
      </c>
      <c r="J71" s="41">
        <f t="shared" si="37"/>
        <v>2241662.4400000004</v>
      </c>
      <c r="K71" s="41">
        <f t="shared" si="37"/>
        <v>4344442.6743333358</v>
      </c>
      <c r="L71" s="41">
        <f t="shared" si="34"/>
        <v>289673.15099999681</v>
      </c>
      <c r="M71" s="41">
        <f t="shared" si="23"/>
        <v>-12366780.449000001</v>
      </c>
      <c r="N71" s="41">
        <f t="shared" si="24"/>
        <v>-1005979.2599999993</v>
      </c>
      <c r="O71" s="42">
        <f t="shared" si="25"/>
        <v>1.2795919784812744</v>
      </c>
      <c r="P71" s="42">
        <f t="shared" si="26"/>
        <v>0.69024315089931276</v>
      </c>
      <c r="Q71" s="42">
        <f t="shared" si="35"/>
        <v>1.0147843118781579</v>
      </c>
      <c r="R71" s="42">
        <f t="shared" si="27"/>
        <v>0.61653076289484077</v>
      </c>
      <c r="S71" s="96"/>
      <c r="T71" s="96"/>
      <c r="U71" s="96"/>
      <c r="V71" s="96"/>
      <c r="W71" s="96"/>
      <c r="X71" s="96"/>
      <c r="Y71" s="96"/>
      <c r="Z71" s="96"/>
    </row>
    <row r="72" s="36" customFormat="1" ht="28.5" customHeight="1">
      <c r="A72" s="99"/>
      <c r="B72" s="40"/>
      <c r="C72" s="39"/>
      <c r="D72" s="66" t="s">
        <v>148</v>
      </c>
      <c r="E72" s="41">
        <f>SUM(E73:E81)</f>
        <v>15268676.469999999</v>
      </c>
      <c r="F72" s="41">
        <f t="shared" ref="F72:J72" si="38">SUM(F73:F81)</f>
        <v>25593987.256999999</v>
      </c>
      <c r="G72" s="41">
        <f t="shared" si="38"/>
        <v>16849996.313000001</v>
      </c>
      <c r="H72" s="41">
        <f t="shared" si="38"/>
        <v>1843852.1799999997</v>
      </c>
      <c r="I72" s="41">
        <f t="shared" si="38"/>
        <v>16796887.299999997</v>
      </c>
      <c r="J72" s="41">
        <f t="shared" si="38"/>
        <v>1444489.9399999999</v>
      </c>
      <c r="K72" s="41">
        <f t="shared" si="22"/>
        <v>1528210.8299999982</v>
      </c>
      <c r="L72" s="41">
        <f t="shared" si="34"/>
        <v>-53109.013000003994</v>
      </c>
      <c r="M72" s="41">
        <f t="shared" si="23"/>
        <v>-8797099.9570000023</v>
      </c>
      <c r="N72" s="41">
        <f t="shared" si="24"/>
        <v>-399362.23999999976</v>
      </c>
      <c r="O72" s="42">
        <f t="shared" si="25"/>
        <v>1.1000879698382919</v>
      </c>
      <c r="P72" s="42">
        <f t="shared" si="26"/>
        <v>0.78340875459984005</v>
      </c>
      <c r="Q72" s="42">
        <f t="shared" si="35"/>
        <v>0.99684812910261411</v>
      </c>
      <c r="R72" s="42">
        <f t="shared" si="27"/>
        <v>0.65628255305964567</v>
      </c>
      <c r="S72" s="36"/>
      <c r="T72" s="36"/>
      <c r="U72" s="36"/>
      <c r="V72" s="36"/>
      <c r="W72" s="36"/>
      <c r="X72" s="36"/>
      <c r="Y72" s="36"/>
      <c r="Z72" s="36"/>
    </row>
    <row r="73" ht="19.5" customHeight="1">
      <c r="A73" s="44"/>
      <c r="B73" s="64"/>
      <c r="C73" s="45" t="s">
        <v>149</v>
      </c>
      <c r="D73" s="100" t="s">
        <v>150</v>
      </c>
      <c r="E73" s="62">
        <v>369367.59999999998</v>
      </c>
      <c r="F73" s="62">
        <f>284166.8+60568.8</f>
        <v>344735.59999999998</v>
      </c>
      <c r="G73" s="62">
        <v>280791.90000000002</v>
      </c>
      <c r="H73" s="62">
        <v>63076.300000000003</v>
      </c>
      <c r="I73" s="62">
        <v>289250.79999999999</v>
      </c>
      <c r="J73" s="62">
        <v>71535.199999999997</v>
      </c>
      <c r="K73" s="62">
        <f t="shared" si="22"/>
        <v>-80116.799999999988</v>
      </c>
      <c r="L73" s="62">
        <f t="shared" si="34"/>
        <v>8458.8999999999651</v>
      </c>
      <c r="M73" s="62">
        <f t="shared" si="23"/>
        <v>-55484.799999999988</v>
      </c>
      <c r="N73" s="62">
        <f t="shared" si="24"/>
        <v>8458.8999999999942</v>
      </c>
      <c r="O73" s="63">
        <f t="shared" si="25"/>
        <v>0.78309738049574462</v>
      </c>
      <c r="P73" s="63">
        <f t="shared" si="26"/>
        <v>1.1341058368991206</v>
      </c>
      <c r="Q73" s="63">
        <f t="shared" si="35"/>
        <v>1.0301251567441938</v>
      </c>
      <c r="R73" s="63">
        <f t="shared" si="27"/>
        <v>0.83905114528351588</v>
      </c>
      <c r="S73"/>
      <c r="T73"/>
      <c r="U73"/>
      <c r="V73"/>
      <c r="W73"/>
      <c r="X73"/>
      <c r="Y73"/>
    </row>
    <row r="74" ht="18" customHeight="1">
      <c r="A74" s="50"/>
      <c r="B74" s="69"/>
      <c r="C74" s="45" t="s">
        <v>151</v>
      </c>
      <c r="D74" s="100" t="s">
        <v>152</v>
      </c>
      <c r="E74" s="62">
        <v>3346372.0199999991</v>
      </c>
      <c r="F74" s="62">
        <v>6959335.7000000002</v>
      </c>
      <c r="G74" s="101">
        <v>3718203.8999999999</v>
      </c>
      <c r="H74" s="62">
        <v>361216.60999999999</v>
      </c>
      <c r="I74" s="62">
        <v>3718203.9700000002</v>
      </c>
      <c r="J74" s="62">
        <v>361216.60999999999</v>
      </c>
      <c r="K74" s="62">
        <f t="shared" si="22"/>
        <v>371831.95000000112</v>
      </c>
      <c r="L74" s="62">
        <f t="shared" si="34"/>
        <v>0.070000000298023224</v>
      </c>
      <c r="M74" s="62">
        <f t="shared" si="23"/>
        <v>-3241131.73</v>
      </c>
      <c r="N74" s="62">
        <f t="shared" si="24"/>
        <v>0</v>
      </c>
      <c r="O74" s="63">
        <f t="shared" si="25"/>
        <v>1.1111149471062101</v>
      </c>
      <c r="P74" s="63">
        <f t="shared" si="26"/>
        <v>1</v>
      </c>
      <c r="Q74" s="63">
        <f t="shared" si="35"/>
        <v>1.0000000188262941</v>
      </c>
      <c r="R74" s="63">
        <f t="shared" si="27"/>
        <v>0.53427570249269629</v>
      </c>
      <c r="S74"/>
      <c r="T74"/>
      <c r="U74"/>
      <c r="V74"/>
      <c r="W74"/>
      <c r="X74"/>
      <c r="Y74"/>
    </row>
    <row r="75" ht="18" customHeight="1">
      <c r="A75" s="50"/>
      <c r="B75" s="69"/>
      <c r="C75" s="45" t="s">
        <v>153</v>
      </c>
      <c r="D75" s="100" t="s">
        <v>154</v>
      </c>
      <c r="E75" s="62">
        <v>8022791.4200000009</v>
      </c>
      <c r="F75" s="62">
        <v>13872776.1</v>
      </c>
      <c r="G75" s="62">
        <v>9304472.6999999993</v>
      </c>
      <c r="H75" s="101">
        <v>853553.48999999999</v>
      </c>
      <c r="I75" s="62">
        <v>9304472.4900000002</v>
      </c>
      <c r="J75" s="62">
        <v>853553.48999999999</v>
      </c>
      <c r="K75" s="62">
        <f t="shared" si="22"/>
        <v>1281681.0699999994</v>
      </c>
      <c r="L75" s="62">
        <f t="shared" si="34"/>
        <v>-0.20999999903142452</v>
      </c>
      <c r="M75" s="62">
        <f t="shared" si="23"/>
        <v>-4568303.6099999994</v>
      </c>
      <c r="N75" s="62">
        <f t="shared" si="24"/>
        <v>0</v>
      </c>
      <c r="O75" s="63">
        <f t="shared" si="25"/>
        <v>1.1597550033277568</v>
      </c>
      <c r="P75" s="63">
        <f t="shared" si="26"/>
        <v>1</v>
      </c>
      <c r="Q75" s="63">
        <f t="shared" si="35"/>
        <v>0.99999997743020952</v>
      </c>
      <c r="R75" s="63">
        <f t="shared" si="27"/>
        <v>0.67070011243099359</v>
      </c>
      <c r="S75"/>
      <c r="T75"/>
      <c r="U75"/>
      <c r="V75"/>
      <c r="W75"/>
      <c r="X75"/>
      <c r="Y75"/>
    </row>
    <row r="76" ht="18" customHeight="1">
      <c r="A76" s="50"/>
      <c r="B76" s="69"/>
      <c r="C76" s="45" t="s">
        <v>155</v>
      </c>
      <c r="D76" s="78" t="s">
        <v>156</v>
      </c>
      <c r="E76" s="62">
        <v>3193431.1699999999</v>
      </c>
      <c r="F76" s="62">
        <v>3473302</v>
      </c>
      <c r="G76" s="101">
        <v>2602690</v>
      </c>
      <c r="H76" s="62">
        <v>158886.14999999999</v>
      </c>
      <c r="I76" s="62">
        <v>2600491.6699999999</v>
      </c>
      <c r="J76" s="62">
        <v>158886.14999999999</v>
      </c>
      <c r="K76" s="62">
        <f t="shared" si="22"/>
        <v>-592939.5</v>
      </c>
      <c r="L76" s="62">
        <f t="shared" si="34"/>
        <v>-2198.3300000000745</v>
      </c>
      <c r="M76" s="62">
        <f t="shared" si="23"/>
        <v>-872810.33000000007</v>
      </c>
      <c r="N76" s="62">
        <f t="shared" si="24"/>
        <v>0</v>
      </c>
      <c r="O76" s="63">
        <f t="shared" si="25"/>
        <v>0.81432526068817701</v>
      </c>
      <c r="P76" s="63">
        <f t="shared" si="26"/>
        <v>1</v>
      </c>
      <c r="Q76" s="63">
        <f t="shared" si="35"/>
        <v>0.99915536233665936</v>
      </c>
      <c r="R76" s="63">
        <f t="shared" si="27"/>
        <v>0.74870877050138451</v>
      </c>
      <c r="S76"/>
      <c r="T76"/>
      <c r="U76"/>
      <c r="V76"/>
      <c r="W76"/>
      <c r="X76"/>
      <c r="Y76"/>
    </row>
    <row r="77" s="1" customFormat="1" ht="47.25">
      <c r="A77" s="50"/>
      <c r="B77" s="69"/>
      <c r="C77" s="60" t="s">
        <v>157</v>
      </c>
      <c r="D77" s="86" t="s">
        <v>158</v>
      </c>
      <c r="E77" s="62">
        <v>924.16999999999996</v>
      </c>
      <c r="F77" s="62"/>
      <c r="G77" s="62"/>
      <c r="H77" s="62"/>
      <c r="I77" s="62">
        <v>446.21999999999997</v>
      </c>
      <c r="J77" s="62">
        <v>0</v>
      </c>
      <c r="K77" s="62">
        <f t="shared" si="22"/>
        <v>-477.94999999999999</v>
      </c>
      <c r="L77" s="62">
        <f t="shared" si="34"/>
        <v>446.21999999999997</v>
      </c>
      <c r="M77" s="62">
        <f t="shared" si="23"/>
        <v>446.21999999999997</v>
      </c>
      <c r="N77" s="62">
        <f t="shared" si="24"/>
        <v>0</v>
      </c>
      <c r="O77" s="63">
        <f t="shared" si="25"/>
        <v>0.48283324496575303</v>
      </c>
      <c r="P77" s="63" t="str">
        <f t="shared" si="26"/>
        <v/>
      </c>
      <c r="Q77" s="63" t="str">
        <f t="shared" si="35"/>
        <v/>
      </c>
      <c r="R77" s="63" t="str">
        <f t="shared" si="27"/>
        <v/>
      </c>
      <c r="S77"/>
      <c r="T77"/>
      <c r="U77"/>
      <c r="V77"/>
      <c r="W77"/>
      <c r="X77"/>
      <c r="Y77"/>
      <c r="Z77"/>
    </row>
    <row r="78" s="1" customFormat="1" ht="31.5">
      <c r="A78" s="50"/>
      <c r="B78" s="69"/>
      <c r="C78" s="60" t="s">
        <v>159</v>
      </c>
      <c r="D78" s="78" t="s">
        <v>160</v>
      </c>
      <c r="E78" s="62">
        <v>494848.06</v>
      </c>
      <c r="F78" s="62">
        <f>58676.62+184348.644+281632.84+407119.463</f>
        <v>931777.56700000004</v>
      </c>
      <c r="G78" s="62">
        <f>524658.06+407119.463</f>
        <v>931777.52300000004</v>
      </c>
      <c r="H78" s="62">
        <v>407119.63</v>
      </c>
      <c r="I78" s="62">
        <v>931777.56999999995</v>
      </c>
      <c r="J78" s="62">
        <v>0</v>
      </c>
      <c r="K78" s="62">
        <f t="shared" si="22"/>
        <v>436929.50999999995</v>
      </c>
      <c r="L78" s="62">
        <f t="shared" si="34"/>
        <v>0.046999999904073775</v>
      </c>
      <c r="M78" s="62">
        <f t="shared" si="23"/>
        <v>0.0029999999096617103</v>
      </c>
      <c r="N78" s="62">
        <f t="shared" si="24"/>
        <v>-407119.63</v>
      </c>
      <c r="O78" s="63">
        <f t="shared" si="25"/>
        <v>1.8829569019629984</v>
      </c>
      <c r="P78" s="63">
        <f t="shared" si="26"/>
        <v>0</v>
      </c>
      <c r="Q78" s="63">
        <f t="shared" si="35"/>
        <v>1.0000000504412252</v>
      </c>
      <c r="R78" s="63">
        <f t="shared" si="27"/>
        <v>1.0000000032196523</v>
      </c>
      <c r="S78"/>
      <c r="T78"/>
      <c r="U78"/>
      <c r="V78"/>
      <c r="W78"/>
      <c r="X78"/>
      <c r="Y78"/>
      <c r="Z78"/>
    </row>
    <row r="79" s="102" customFormat="1" ht="110.25">
      <c r="A79" s="103"/>
      <c r="B79" s="104"/>
      <c r="C79" s="105" t="s">
        <v>161</v>
      </c>
      <c r="D79" s="78" t="s">
        <v>162</v>
      </c>
      <c r="E79" s="62"/>
      <c r="F79" s="62"/>
      <c r="G79" s="62"/>
      <c r="H79" s="106"/>
      <c r="I79" s="62">
        <v>0</v>
      </c>
      <c r="J79" s="62">
        <v>22.800000000000001</v>
      </c>
      <c r="K79" s="62">
        <f t="shared" si="22"/>
        <v>0</v>
      </c>
      <c r="L79" s="62">
        <f t="shared" si="34"/>
        <v>0</v>
      </c>
      <c r="M79" s="62">
        <f t="shared" si="23"/>
        <v>0</v>
      </c>
      <c r="N79" s="62">
        <f t="shared" si="24"/>
        <v>22.800000000000001</v>
      </c>
      <c r="O79" s="63" t="str">
        <f t="shared" si="25"/>
        <v/>
      </c>
      <c r="P79" s="63" t="str">
        <f t="shared" si="26"/>
        <v/>
      </c>
      <c r="Q79" s="63" t="str">
        <f t="shared" si="35"/>
        <v/>
      </c>
      <c r="R79" s="63" t="str">
        <f t="shared" si="27"/>
        <v/>
      </c>
      <c r="S79" s="102"/>
      <c r="T79" s="102"/>
      <c r="U79" s="102"/>
      <c r="V79" s="102"/>
      <c r="W79" s="102"/>
      <c r="X79" s="102"/>
      <c r="Y79" s="102"/>
      <c r="Z79" s="102"/>
    </row>
    <row r="80" s="1" customFormat="1" ht="47.25">
      <c r="A80" s="50"/>
      <c r="B80" s="69"/>
      <c r="C80" s="60" t="s">
        <v>163</v>
      </c>
      <c r="D80" s="95" t="s">
        <v>164</v>
      </c>
      <c r="E80" s="62">
        <v>159864.75000000003</v>
      </c>
      <c r="F80" s="62">
        <v>12060.290000000001</v>
      </c>
      <c r="G80" s="62">
        <v>12060.290000000001</v>
      </c>
      <c r="H80" s="62">
        <v>0</v>
      </c>
      <c r="I80" s="62">
        <v>83501.699999999997</v>
      </c>
      <c r="J80" s="62">
        <v>2648.3999999999996</v>
      </c>
      <c r="K80" s="62">
        <f t="shared" si="22"/>
        <v>-76363.050000000032</v>
      </c>
      <c r="L80" s="62">
        <f t="shared" si="34"/>
        <v>71441.410000000003</v>
      </c>
      <c r="M80" s="62">
        <f t="shared" si="23"/>
        <v>71441.410000000003</v>
      </c>
      <c r="N80" s="62">
        <f t="shared" si="24"/>
        <v>2648.3999999999996</v>
      </c>
      <c r="O80" s="63">
        <f t="shared" si="25"/>
        <v>0.52232715467293434</v>
      </c>
      <c r="P80" s="63" t="str">
        <f t="shared" si="26"/>
        <v/>
      </c>
      <c r="Q80" s="63">
        <f t="shared" si="35"/>
        <v>6.9236892313534746</v>
      </c>
      <c r="R80" s="63">
        <f t="shared" si="27"/>
        <v>6.9236892313534746</v>
      </c>
      <c r="S80"/>
      <c r="T80"/>
      <c r="U80"/>
      <c r="V80"/>
      <c r="W80"/>
      <c r="X80"/>
      <c r="Y80"/>
      <c r="Z80"/>
    </row>
    <row r="81" s="1" customFormat="1" ht="15.75">
      <c r="A81" s="52"/>
      <c r="B81" s="70"/>
      <c r="C81" s="60" t="s">
        <v>165</v>
      </c>
      <c r="D81" s="95" t="s">
        <v>166</v>
      </c>
      <c r="E81" s="62">
        <v>-318922.72000000003</v>
      </c>
      <c r="F81" s="62"/>
      <c r="G81" s="62"/>
      <c r="H81" s="62"/>
      <c r="I81" s="62">
        <v>-131257.12</v>
      </c>
      <c r="J81" s="62">
        <v>-3372.7099999999996</v>
      </c>
      <c r="K81" s="62">
        <f t="shared" si="22"/>
        <v>187665.60000000003</v>
      </c>
      <c r="L81" s="62">
        <f t="shared" si="34"/>
        <v>-131257.12</v>
      </c>
      <c r="M81" s="62">
        <f t="shared" si="23"/>
        <v>-131257.12</v>
      </c>
      <c r="N81" s="62">
        <f t="shared" si="24"/>
        <v>-3372.7099999999996</v>
      </c>
      <c r="O81" s="63">
        <f t="shared" si="25"/>
        <v>0.41156403030803196</v>
      </c>
      <c r="P81" s="63" t="str">
        <f t="shared" si="26"/>
        <v/>
      </c>
      <c r="Q81" s="63" t="str">
        <f t="shared" si="35"/>
        <v/>
      </c>
      <c r="R81" s="63" t="str">
        <f t="shared" si="27"/>
        <v/>
      </c>
      <c r="S81"/>
      <c r="T81"/>
      <c r="U81"/>
      <c r="V81"/>
      <c r="W81"/>
      <c r="X81"/>
      <c r="Y81"/>
      <c r="Z81"/>
    </row>
    <row r="82" s="36" customFormat="1" ht="29.25" customHeight="1">
      <c r="A82" s="97" t="s">
        <v>167</v>
      </c>
      <c r="B82" s="97"/>
      <c r="C82" s="107"/>
      <c r="D82" s="97"/>
      <c r="E82" s="41">
        <f>E71+E72</f>
        <v>30807186.18666666</v>
      </c>
      <c r="F82" s="41">
        <f t="shared" ref="F82:J82" si="39">F71+F72</f>
        <v>57843720.097000003</v>
      </c>
      <c r="G82" s="41">
        <f t="shared" si="39"/>
        <v>36443275.553000003</v>
      </c>
      <c r="H82" s="41">
        <f t="shared" si="39"/>
        <v>5091493.879999999</v>
      </c>
      <c r="I82" s="41">
        <f t="shared" si="39"/>
        <v>36679839.691</v>
      </c>
      <c r="J82" s="41">
        <f t="shared" si="39"/>
        <v>3686152.3800000004</v>
      </c>
      <c r="K82" s="41">
        <f t="shared" si="22"/>
        <v>5872653.5043333396</v>
      </c>
      <c r="L82" s="41">
        <f t="shared" si="34"/>
        <v>236564.13799999654</v>
      </c>
      <c r="M82" s="41">
        <f t="shared" si="23"/>
        <v>-21163880.406000003</v>
      </c>
      <c r="N82" s="41">
        <f t="shared" si="24"/>
        <v>-1405341.4999999986</v>
      </c>
      <c r="O82" s="42">
        <f t="shared" si="25"/>
        <v>1.1906260918718705</v>
      </c>
      <c r="P82" s="42">
        <f t="shared" si="26"/>
        <v>0.72398248272076904</v>
      </c>
      <c r="Q82" s="42">
        <f t="shared" si="35"/>
        <v>1.0064912973493823</v>
      </c>
      <c r="R82" s="42">
        <f t="shared" si="27"/>
        <v>0.63411965256540193</v>
      </c>
      <c r="S82" s="36"/>
      <c r="T82" s="36"/>
      <c r="U82" s="36"/>
      <c r="V82" s="36"/>
      <c r="W82" s="36"/>
      <c r="X82" s="36"/>
      <c r="Y82" s="36"/>
      <c r="Z82" s="36"/>
    </row>
    <row r="83" ht="15.75">
      <c r="A83" s="108" t="s">
        <v>168</v>
      </c>
      <c r="B83" s="109"/>
      <c r="C83" s="110"/>
      <c r="D83" s="111"/>
      <c r="E83" s="112"/>
      <c r="F83" s="113"/>
      <c r="G83" s="113"/>
      <c r="H83" s="113"/>
      <c r="I83" s="113"/>
      <c r="J83" s="114"/>
      <c r="K83" s="114"/>
      <c r="L83" s="114"/>
      <c r="M83" s="113"/>
      <c r="N83" s="113"/>
      <c r="O83" s="113"/>
      <c r="P83" s="1"/>
      <c r="Q83" s="1"/>
      <c r="R83" s="1"/>
      <c r="S83"/>
      <c r="T83"/>
      <c r="U83"/>
      <c r="X83"/>
      <c r="Y83"/>
    </row>
    <row r="84">
      <c r="F84" s="4"/>
      <c r="I84" s="4"/>
      <c r="J84" s="4"/>
      <c r="X84"/>
      <c r="Y84"/>
    </row>
    <row r="85">
      <c r="F85" s="4"/>
      <c r="I85" s="4"/>
      <c r="J85" s="4"/>
    </row>
    <row r="86">
      <c r="F86" s="4"/>
      <c r="I86" s="4"/>
      <c r="J86" s="4"/>
      <c r="U86"/>
    </row>
    <row r="87">
      <c r="F87" s="4"/>
    </row>
    <row r="88">
      <c r="F88" s="4"/>
    </row>
    <row r="89">
      <c r="F89" s="4"/>
    </row>
    <row r="90">
      <c r="F90" s="4"/>
    </row>
    <row r="91">
      <c r="F91" s="4"/>
    </row>
  </sheetData>
  <autoFilter ref="A4:R85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M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" right="0" top="0.6692913385826772" bottom="0.19685039370078738" header="0.19685039370078738" footer="0.15748031496062992"/>
  <pageSetup paperSize="9" scale="55" fitToWidth="1" fitToHeight="2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42</cp:revision>
  <dcterms:created xsi:type="dcterms:W3CDTF">2015-02-26T11:08:47Z</dcterms:created>
  <dcterms:modified xsi:type="dcterms:W3CDTF">2024-09-06T06:26:03Z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