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22.05.2023" sheetId="1" r:id="rId1"/>
  </sheets>
  <definedNames>
    <definedName name="_xlfn.IFERROR" hidden="1">#NAME?</definedName>
    <definedName name="_xlnm._FilterDatabase" localSheetId="0" hidden="1">'22.05.2023'!$A$4:$P$88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'22.05.2023'!$3:$4</definedName>
    <definedName name="о">#REF!</definedName>
    <definedName name="_xlnm.Print_Area" localSheetId="0">'22.05.2023'!$A$1:$P$87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<sst xmlns="http://schemas.openxmlformats.org/spreadsheetml/2006/main" count="141" uniqueCount="111">
  <si>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</si>
  <si>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</si>
  <si>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</si>
  <si>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</si>
  <si>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</si>
  <si>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</si>
  <si>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</si>
  <si>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</si>
  <si>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</si>
  <si>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</si>
  <si>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</si>
  <si>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</si>
  <si>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</si>
  <si>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</si>
  <si>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</si>
  <si>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</si>
  <si>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</si>
  <si>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</si>
  <si>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</si>
  <si>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</si>
  <si>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</si>
  <si>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</si>
  <si>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</si>
  <si>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</si>
  <si>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</si>
  <si>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</si>
  <si>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</si>
  <si>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</si>
  <si>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</si>
  <si>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</si>
  <si>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</si>
  <si>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</si>
  <si>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</si>
  <si>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</si>
  <si>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</si>
  <si>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</si>
  <si>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</si>
  <si>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</si>
  <si>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</si>
  <si>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</si>
  <si>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</si>
  <si>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</si>
  <si>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</si>
  <si>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</si>
  <si>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</si>
  <si>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находящихся в собственности городских округов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</si>
  <si>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</si>
  <si>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</si>
  <si>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</si>
  <si>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</si>
  <si>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</si>
  <si>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</si>
  <si>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</si>
  <si>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</si>
  <si>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</si>
  <si>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</si>
  <si>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</si>
  <si>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</si>
  <si>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</si>
  <si>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903</t>
  </si>
  <si>
    <t>ДГА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</si>
  <si>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</si>
  <si>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</si>
  <si>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</si>
  <si>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</si>
  <si>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</si>
  <si>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</si>
  <si>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</si>
  <si>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</si>
  <si>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</si>
  <si>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</si>
  <si>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</si>
  <si>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</si>
  <si>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</si>
  <si>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</si>
  <si>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</si>
  <si>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</si>
  <si>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</si>
  <si>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</si>
  <si>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</si>
  <si>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</si>
  <si>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</si>
  <si>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</si>
  <si>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</si>
  <si>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</si>
  <si>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</si>
  <si>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</si>
  <si>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</si>
  <si>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</si>
  <si>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</si>
  <si>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</si>
  <si>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</si>
  <si>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</si>
  <si>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</si>
  <si>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</si>
  <si>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</si>
  <si>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</si>
  <si>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</si>
  <si>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</si>
  <si>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</si>
  <si>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</si>
  <si>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</si>
  <si>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</si>
  <si>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</si>
  <si>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</si>
  <si>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</si>
  <si>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январь-май</t>
  </si>
  <si>
    <t>май</t>
  </si>
  <si>
    <t>факта за май от плана мая</t>
  </si>
  <si>
    <t>Факт с нач. 2022 года      (по 19.05.22 вкл.)</t>
  </si>
  <si>
    <t>с нач. года на 22.05.2023 (по 19.05.2023 вкл.)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</si>
</sst>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  <numFmt numFmtId="168" formatCode="0.000"/>
    <numFmt numFmtId="169" formatCode="dd/mm/yyyy\ hh:mm"/>
  </numFmts>
  <fonts count="47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2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4" fillId="0" borderId="11" xfId="0" applyNumberFormat="1" applyFont="1" applyFill="1" applyBorder="1" applyAlignment="1">
      <alignment vertical="center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167" fontId="4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44" fillId="0" borderId="11" xfId="0" applyFont="1" applyFill="1" applyBorder="1" applyAlignment="1">
      <alignment horizontal="left" wrapText="1"/>
    </xf>
    <xf numFmtId="166" fontId="44" fillId="0" borderId="11" xfId="0" applyNumberFormat="1" applyFont="1" applyFill="1" applyBorder="1" applyAlignment="1">
      <alignment wrapText="1"/>
    </xf>
    <xf numFmtId="166" fontId="44" fillId="0" borderId="11" xfId="0" applyNumberFormat="1" applyFont="1" applyFill="1" applyBorder="1" applyAlignment="1">
      <alignment wrapText="1"/>
    </xf>
    <xf numFmtId="166" fontId="45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wrapText="1"/>
    </xf>
    <xf numFmtId="164" fontId="6" fillId="33" borderId="11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vertical="center" wrapText="1"/>
    </xf>
    <xf numFmtId="164" fontId="4" fillId="33" borderId="11" xfId="0" applyNumberFormat="1" applyFont="1" applyFill="1" applyBorder="1" applyAlignment="1">
      <alignment vertical="center" wrapText="1"/>
    </xf>
    <xf numFmtId="164" fontId="6" fillId="33" borderId="11" xfId="0" applyNumberFormat="1" applyFont="1" applyFill="1" applyBorder="1" applyAlignment="1">
      <alignment wrapText="1"/>
    </xf>
    <xf numFmtId="164" fontId="6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6" fillId="33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wrapText="1"/>
    </xf>
    <xf numFmtId="166" fontId="46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46" fillId="0" borderId="14" xfId="0" applyNumberFormat="1" applyFont="1" applyFill="1" applyBorder="1" applyAlignment="1">
      <alignment horizontal="left" vertical="center" wrapText="1"/>
    </xf>
    <xf numFmtId="166" fontId="46" fillId="0" borderId="15" xfId="0" applyNumberFormat="1" applyFont="1" applyFill="1" applyBorder="1" applyAlignment="1">
      <alignment horizontal="left" vertical="center" wrapText="1"/>
    </xf>
    <xf numFmtId="166" fontId="46" fillId="0" borderId="16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9" fontId="4" fillId="0" borderId="11" xfId="142" applyFont="1" applyFill="1" applyBorder="1" applyAlignment="1" applyProtection="1">
      <alignment horizontal="center" vertical="top" wrapText="1"/>
      <protection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8" xfId="136"/>
    <cellStyle name="Обычный 9" xfId="137"/>
    <cellStyle name="Плохой" xfId="138"/>
    <cellStyle name="Пояснение" xfId="139"/>
    <cellStyle name="Примечание" xfId="140"/>
    <cellStyle name="Percent" xfId="141"/>
    <cellStyle name="Процентный 2" xfId="142"/>
    <cellStyle name="Процентный 2 2" xfId="143"/>
    <cellStyle name="Связанная ячейка" xfId="144"/>
    <cellStyle name="Текст предупреждения" xfId="145"/>
    <cellStyle name="Comma" xfId="146"/>
    <cellStyle name="Comma [0]" xfId="147"/>
    <cellStyle name="Финансовый 2" xfId="148"/>
    <cellStyle name="Финансовый 3" xfId="149"/>
    <cellStyle name="Хороший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zoomScale="89" zoomScaleNormal="89" zoomScalePageLayoutView="0" workbookViewId="0" topLeftCell="A1">
      <pane xSplit="3" ySplit="4" topLeftCell="D4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51" sqref="D51"/>
    </sheetView>
  </sheetViews>
  <sheetFormatPr defaultColWidth="9.00390625" defaultRowHeight="12.75"/>
  <cols>
    <col min="1" max="2" width="9.125" style="50" customWidth="1"/>
    <col min="3" max="3" width="67.625" style="50" customWidth="1"/>
    <col min="4" max="4" width="14.625" style="22" customWidth="1"/>
    <col min="5" max="5" width="15.625" style="50" customWidth="1"/>
    <col min="6" max="7" width="13.00390625" style="50" customWidth="1"/>
    <col min="8" max="8" width="16.25390625" style="50" customWidth="1"/>
    <col min="9" max="9" width="13.875" style="50" customWidth="1"/>
    <col min="10" max="10" width="15.125" style="50" customWidth="1"/>
    <col min="11" max="11" width="14.375" style="50" customWidth="1"/>
    <col min="12" max="12" width="15.625" style="50" customWidth="1"/>
    <col min="13" max="13" width="13.75390625" style="50" customWidth="1"/>
    <col min="14" max="14" width="10.875" style="50" customWidth="1"/>
    <col min="15" max="15" width="10.125" style="50" customWidth="1"/>
    <col min="16" max="16" width="9.25390625" style="50" customWidth="1"/>
    <col min="17" max="17" width="9.125" style="50" customWidth="1"/>
    <col min="18" max="18" width="16.625" style="50" customWidth="1"/>
    <col min="19" max="19" width="9.125" style="50" customWidth="1"/>
    <col min="20" max="20" width="15.75390625" style="50" customWidth="1"/>
    <col min="21" max="16384" width="9.125" style="50" customWidth="1"/>
  </cols>
  <sheetData>
    <row r="1" spans="1:16" ht="20.25">
      <c r="A1" s="103" t="s">
        <v>92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25" customHeight="1">
      <c r="A2" s="28"/>
      <c r="B2" s="29"/>
      <c r="C2" s="26"/>
      <c r="D2" s="25"/>
      <c r="E2" s="26"/>
      <c r="F2" s="26"/>
      <c r="G2" s="31"/>
      <c r="H2" s="31"/>
      <c r="I2" s="31"/>
      <c r="J2" s="26"/>
      <c r="K2" s="26"/>
      <c r="L2" s="26"/>
      <c r="M2" s="26"/>
      <c r="N2" s="26"/>
      <c r="O2" s="24"/>
      <c r="P2" s="24" t="s">
        <v>0</v>
      </c>
    </row>
    <row r="3" spans="1:16" ht="20.25" customHeight="1">
      <c r="A3" s="104" t="s">
        <v>1</v>
      </c>
      <c r="B3" s="102" t="s">
        <v>2</v>
      </c>
      <c r="C3" s="105" t="s">
        <v>3</v>
      </c>
      <c r="D3" s="107" t="s">
        <v>109</v>
      </c>
      <c r="E3" s="109" t="s">
        <v>91</v>
      </c>
      <c r="F3" s="110"/>
      <c r="G3" s="111"/>
      <c r="H3" s="109" t="s">
        <v>93</v>
      </c>
      <c r="I3" s="111"/>
      <c r="J3" s="109" t="s">
        <v>4</v>
      </c>
      <c r="K3" s="110"/>
      <c r="L3" s="110"/>
      <c r="M3" s="111"/>
      <c r="N3" s="102" t="s">
        <v>105</v>
      </c>
      <c r="O3" s="112" t="s">
        <v>103</v>
      </c>
      <c r="P3" s="102" t="s">
        <v>104</v>
      </c>
    </row>
    <row r="4" spans="1:16" ht="63">
      <c r="A4" s="104"/>
      <c r="B4" s="102"/>
      <c r="C4" s="106"/>
      <c r="D4" s="108"/>
      <c r="E4" s="1" t="s">
        <v>88</v>
      </c>
      <c r="F4" s="1" t="s">
        <v>106</v>
      </c>
      <c r="G4" s="1" t="s">
        <v>107</v>
      </c>
      <c r="H4" s="1" t="s">
        <v>110</v>
      </c>
      <c r="I4" s="1" t="s">
        <v>107</v>
      </c>
      <c r="J4" s="1" t="s">
        <v>94</v>
      </c>
      <c r="K4" s="1" t="s">
        <v>5</v>
      </c>
      <c r="L4" s="1" t="s">
        <v>95</v>
      </c>
      <c r="M4" s="1" t="s">
        <v>108</v>
      </c>
      <c r="N4" s="102"/>
      <c r="O4" s="112"/>
      <c r="P4" s="102"/>
    </row>
    <row r="5" spans="1:18" ht="29.25" customHeight="1">
      <c r="A5" s="66"/>
      <c r="B5" s="67"/>
      <c r="C5" s="68" t="s">
        <v>6</v>
      </c>
      <c r="D5" s="83">
        <f aca="true" t="shared" si="0" ref="D5:I5">D17+D19+D21+D18+D20</f>
        <v>5606103.2299999995</v>
      </c>
      <c r="E5" s="80">
        <f t="shared" si="0"/>
        <v>20002935.000000004</v>
      </c>
      <c r="F5" s="80">
        <f t="shared" si="0"/>
        <v>6602253.000000001</v>
      </c>
      <c r="G5" s="80">
        <f t="shared" si="0"/>
        <v>3159947.1</v>
      </c>
      <c r="H5" s="80">
        <f t="shared" si="0"/>
        <v>4737925.730000001</v>
      </c>
      <c r="I5" s="80">
        <f t="shared" si="0"/>
        <v>46748.64</v>
      </c>
      <c r="J5" s="38">
        <f>H5-D5</f>
        <v>-868177.4999999981</v>
      </c>
      <c r="K5" s="38">
        <f>H5-F5</f>
        <v>-1864327.2699999996</v>
      </c>
      <c r="L5" s="38">
        <f>H5-E5</f>
        <v>-15265009.270000003</v>
      </c>
      <c r="M5" s="38">
        <f>I5-G5</f>
        <v>-3113198.46</v>
      </c>
      <c r="N5" s="39">
        <f aca="true" t="shared" si="1" ref="N5:N36">_xlfn.IFERROR(H5/D5,"")</f>
        <v>0.8451370828574631</v>
      </c>
      <c r="O5" s="39">
        <f aca="true" t="shared" si="2" ref="O5:O36">_xlfn.IFERROR(H5/F5,"")</f>
        <v>0.7176225646002964</v>
      </c>
      <c r="P5" s="39">
        <f aca="true" t="shared" si="3" ref="P5:P36">_xlfn.IFERROR(H5/E5,"")</f>
        <v>0.23686152707090238</v>
      </c>
      <c r="R5" s="59"/>
    </row>
    <row r="6" spans="1:21" ht="15.75">
      <c r="A6" s="92" t="s">
        <v>10</v>
      </c>
      <c r="B6" s="55" t="s">
        <v>11</v>
      </c>
      <c r="C6" s="4" t="s">
        <v>12</v>
      </c>
      <c r="D6" s="5">
        <v>4114871.79</v>
      </c>
      <c r="E6" s="5">
        <f>14235121.9+613644.6</f>
        <v>14848766.5</v>
      </c>
      <c r="F6" s="5">
        <v>4685795.100000001</v>
      </c>
      <c r="G6" s="5">
        <v>2241093.9</v>
      </c>
      <c r="H6" s="73">
        <v>3155460.7199999997</v>
      </c>
      <c r="I6" s="73">
        <v>10238.77</v>
      </c>
      <c r="J6" s="5">
        <f aca="true" t="shared" si="4" ref="J6:J60">H6-D6</f>
        <v>-959411.0700000003</v>
      </c>
      <c r="K6" s="5">
        <f aca="true" t="shared" si="5" ref="K6:K69">H6-F6</f>
        <v>-1530334.3800000008</v>
      </c>
      <c r="L6" s="5">
        <f aca="true" t="shared" si="6" ref="L6:L69">H6-E6</f>
        <v>-11693305.780000001</v>
      </c>
      <c r="M6" s="5">
        <f>I6-G6</f>
        <v>-2230855.13</v>
      </c>
      <c r="N6" s="34">
        <f t="shared" si="1"/>
        <v>0.7668430223435952</v>
      </c>
      <c r="O6" s="34">
        <f t="shared" si="2"/>
        <v>0.6734098808545852</v>
      </c>
      <c r="P6" s="34">
        <f t="shared" si="3"/>
        <v>0.21250658901532324</v>
      </c>
      <c r="U6" s="59"/>
    </row>
    <row r="7" spans="1:21" ht="15.75">
      <c r="A7" s="115"/>
      <c r="B7" s="55" t="s">
        <v>7</v>
      </c>
      <c r="C7" s="2" t="s">
        <v>8</v>
      </c>
      <c r="D7" s="3">
        <v>21982.64</v>
      </c>
      <c r="E7" s="3">
        <v>80057.5</v>
      </c>
      <c r="F7" s="3">
        <v>30890</v>
      </c>
      <c r="G7" s="3">
        <v>8320</v>
      </c>
      <c r="H7" s="74">
        <v>24712.190000000002</v>
      </c>
      <c r="I7" s="74">
        <v>0.01</v>
      </c>
      <c r="J7" s="3">
        <f>H7-D7</f>
        <v>2729.550000000003</v>
      </c>
      <c r="K7" s="3">
        <f>H7-F7</f>
        <v>-6177.809999999998</v>
      </c>
      <c r="L7" s="3">
        <f>H7-E7</f>
        <v>-55345.31</v>
      </c>
      <c r="M7" s="3">
        <f>I7-G7</f>
        <v>-8319.99</v>
      </c>
      <c r="N7" s="34">
        <f t="shared" si="1"/>
        <v>1.124168434728495</v>
      </c>
      <c r="O7" s="34">
        <f t="shared" si="2"/>
        <v>0.8000061508578828</v>
      </c>
      <c r="P7" s="34">
        <f t="shared" si="3"/>
        <v>0.308680510882803</v>
      </c>
      <c r="U7" s="59"/>
    </row>
    <row r="8" spans="1:21" ht="15.75">
      <c r="A8" s="115"/>
      <c r="B8" s="55" t="s">
        <v>11</v>
      </c>
      <c r="C8" s="4" t="s">
        <v>96</v>
      </c>
      <c r="D8" s="5"/>
      <c r="E8" s="5">
        <v>1204375.9</v>
      </c>
      <c r="F8" s="5">
        <v>648721.5</v>
      </c>
      <c r="G8" s="5">
        <v>429755.2</v>
      </c>
      <c r="H8" s="73">
        <v>482439.62</v>
      </c>
      <c r="I8" s="73">
        <v>17944.98</v>
      </c>
      <c r="J8" s="5">
        <f>H8-D8</f>
        <v>482439.62</v>
      </c>
      <c r="K8" s="5">
        <f>H8-F8</f>
        <v>-166281.88</v>
      </c>
      <c r="L8" s="5">
        <f>H8-E8</f>
        <v>-721936.2799999999</v>
      </c>
      <c r="M8" s="5">
        <f aca="true" t="shared" si="7" ref="M8:M69">I8-G8</f>
        <v>-411810.22000000003</v>
      </c>
      <c r="N8" s="34">
        <f t="shared" si="1"/>
      </c>
      <c r="O8" s="34">
        <f t="shared" si="2"/>
        <v>0.7436775565477636</v>
      </c>
      <c r="P8" s="34">
        <f t="shared" si="3"/>
        <v>0.4005722964067946</v>
      </c>
      <c r="U8" s="59"/>
    </row>
    <row r="9" spans="1:21" ht="15.75">
      <c r="A9" s="115"/>
      <c r="B9" s="55" t="s">
        <v>11</v>
      </c>
      <c r="C9" s="4" t="s">
        <v>13</v>
      </c>
      <c r="D9" s="5">
        <v>1488.2199999999998</v>
      </c>
      <c r="E9" s="5"/>
      <c r="F9" s="5"/>
      <c r="G9" s="5"/>
      <c r="H9" s="74">
        <v>-3494.3</v>
      </c>
      <c r="I9" s="74">
        <v>22.41</v>
      </c>
      <c r="J9" s="5">
        <f t="shared" si="4"/>
        <v>-4982.52</v>
      </c>
      <c r="K9" s="5">
        <f>H9-F9</f>
        <v>-3494.3</v>
      </c>
      <c r="L9" s="5">
        <f t="shared" si="6"/>
        <v>-3494.3</v>
      </c>
      <c r="M9" s="5">
        <f t="shared" si="7"/>
        <v>22.41</v>
      </c>
      <c r="N9" s="34">
        <f t="shared" si="1"/>
        <v>-2.3479727459649786</v>
      </c>
      <c r="O9" s="34">
        <f t="shared" si="2"/>
      </c>
      <c r="P9" s="34">
        <f t="shared" si="3"/>
      </c>
      <c r="U9" s="59"/>
    </row>
    <row r="10" spans="1:21" ht="15.75">
      <c r="A10" s="115"/>
      <c r="B10" s="55" t="s">
        <v>11</v>
      </c>
      <c r="C10" s="4" t="s">
        <v>14</v>
      </c>
      <c r="D10" s="5">
        <v>2158.07</v>
      </c>
      <c r="E10" s="5">
        <v>4690.3</v>
      </c>
      <c r="F10" s="5">
        <v>2720.4</v>
      </c>
      <c r="G10" s="5">
        <v>0</v>
      </c>
      <c r="H10" s="75">
        <v>-1454.97</v>
      </c>
      <c r="I10" s="75">
        <v>0</v>
      </c>
      <c r="J10" s="5">
        <f t="shared" si="4"/>
        <v>-3613.04</v>
      </c>
      <c r="K10" s="5">
        <f t="shared" si="5"/>
        <v>-4175.37</v>
      </c>
      <c r="L10" s="5">
        <f t="shared" si="6"/>
        <v>-6145.27</v>
      </c>
      <c r="M10" s="5">
        <f t="shared" si="7"/>
        <v>0</v>
      </c>
      <c r="N10" s="34">
        <f t="shared" si="1"/>
        <v>-0.6741996320786628</v>
      </c>
      <c r="O10" s="34">
        <f t="shared" si="2"/>
        <v>-0.534836788707543</v>
      </c>
      <c r="P10" s="34">
        <f t="shared" si="3"/>
        <v>-0.3102083022407948</v>
      </c>
      <c r="U10" s="59"/>
    </row>
    <row r="11" spans="1:21" ht="15.75">
      <c r="A11" s="115"/>
      <c r="B11" s="55" t="s">
        <v>11</v>
      </c>
      <c r="C11" s="4" t="s">
        <v>98</v>
      </c>
      <c r="D11" s="5">
        <v>103149.5</v>
      </c>
      <c r="E11" s="5">
        <v>314766.5</v>
      </c>
      <c r="F11" s="5">
        <v>125074</v>
      </c>
      <c r="G11" s="5">
        <v>6858</v>
      </c>
      <c r="H11" s="75">
        <v>93926.92000000001</v>
      </c>
      <c r="I11" s="75">
        <v>2972.62</v>
      </c>
      <c r="J11" s="5">
        <f t="shared" si="4"/>
        <v>-9222.579999999987</v>
      </c>
      <c r="K11" s="5">
        <f t="shared" si="5"/>
        <v>-31147.079999999987</v>
      </c>
      <c r="L11" s="5">
        <f t="shared" si="6"/>
        <v>-220839.58</v>
      </c>
      <c r="M11" s="5">
        <f t="shared" si="7"/>
        <v>-3885.38</v>
      </c>
      <c r="N11" s="34">
        <f t="shared" si="1"/>
        <v>0.9105901628219236</v>
      </c>
      <c r="O11" s="34">
        <f t="shared" si="2"/>
        <v>0.7509707852951054</v>
      </c>
      <c r="P11" s="34">
        <f t="shared" si="3"/>
        <v>0.2984018947378454</v>
      </c>
      <c r="U11" s="59"/>
    </row>
    <row r="12" spans="1:21" ht="15.75">
      <c r="A12" s="115"/>
      <c r="B12" s="55" t="s">
        <v>15</v>
      </c>
      <c r="C12" s="4" t="s">
        <v>16</v>
      </c>
      <c r="D12" s="5">
        <v>49132.54</v>
      </c>
      <c r="E12" s="5">
        <v>1083466.2</v>
      </c>
      <c r="F12" s="5">
        <v>59600</v>
      </c>
      <c r="G12" s="5">
        <v>5400</v>
      </c>
      <c r="H12" s="75">
        <v>22386.45</v>
      </c>
      <c r="I12" s="75">
        <v>-518.99</v>
      </c>
      <c r="J12" s="5">
        <f t="shared" si="4"/>
        <v>-26746.09</v>
      </c>
      <c r="K12" s="5">
        <f t="shared" si="5"/>
        <v>-37213.55</v>
      </c>
      <c r="L12" s="5">
        <f t="shared" si="6"/>
        <v>-1061079.75</v>
      </c>
      <c r="M12" s="5">
        <f t="shared" si="7"/>
        <v>-5918.99</v>
      </c>
      <c r="N12" s="34">
        <f t="shared" si="1"/>
        <v>0.45563388336935157</v>
      </c>
      <c r="O12" s="34">
        <f t="shared" si="2"/>
        <v>0.3756115771812081</v>
      </c>
      <c r="P12" s="34">
        <f t="shared" si="3"/>
        <v>0.020661881284344635</v>
      </c>
      <c r="U12" s="59"/>
    </row>
    <row r="13" spans="1:21" ht="15.75">
      <c r="A13" s="115"/>
      <c r="B13" s="55" t="s">
        <v>79</v>
      </c>
      <c r="C13" s="4" t="s">
        <v>101</v>
      </c>
      <c r="D13" s="5">
        <v>289519.80000000005</v>
      </c>
      <c r="E13" s="5"/>
      <c r="F13" s="5"/>
      <c r="G13" s="5"/>
      <c r="H13" s="75">
        <v>0</v>
      </c>
      <c r="I13" s="75">
        <v>0</v>
      </c>
      <c r="J13" s="5">
        <f t="shared" si="4"/>
        <v>-289519.80000000005</v>
      </c>
      <c r="K13" s="5">
        <f t="shared" si="5"/>
        <v>0</v>
      </c>
      <c r="L13" s="5">
        <f t="shared" si="6"/>
        <v>0</v>
      </c>
      <c r="M13" s="5">
        <f t="shared" si="7"/>
        <v>0</v>
      </c>
      <c r="N13" s="34">
        <f t="shared" si="1"/>
        <v>0</v>
      </c>
      <c r="O13" s="34">
        <f t="shared" si="2"/>
      </c>
      <c r="P13" s="34">
        <f t="shared" si="3"/>
      </c>
      <c r="U13" s="59"/>
    </row>
    <row r="14" spans="1:21" ht="15.75">
      <c r="A14" s="115"/>
      <c r="B14" s="55" t="s">
        <v>15</v>
      </c>
      <c r="C14" s="4" t="s">
        <v>17</v>
      </c>
      <c r="D14" s="5">
        <v>945215.14</v>
      </c>
      <c r="E14" s="5">
        <v>2237196.9</v>
      </c>
      <c r="F14" s="5">
        <v>960800</v>
      </c>
      <c r="G14" s="5">
        <v>451700</v>
      </c>
      <c r="H14" s="75">
        <v>893630.3700000001</v>
      </c>
      <c r="I14" s="75">
        <v>6253.679999999999</v>
      </c>
      <c r="J14" s="5">
        <f t="shared" si="4"/>
        <v>-51584.7699999999</v>
      </c>
      <c r="K14" s="5">
        <f t="shared" si="5"/>
        <v>-67169.62999999989</v>
      </c>
      <c r="L14" s="5">
        <f t="shared" si="6"/>
        <v>-1343566.5299999998</v>
      </c>
      <c r="M14" s="5">
        <f t="shared" si="7"/>
        <v>-445446.32</v>
      </c>
      <c r="N14" s="34">
        <f t="shared" si="1"/>
        <v>0.9454253663351183</v>
      </c>
      <c r="O14" s="34">
        <f t="shared" si="2"/>
        <v>0.9300898938384681</v>
      </c>
      <c r="P14" s="34">
        <f t="shared" si="3"/>
        <v>0.3994419847443916</v>
      </c>
      <c r="U14" s="59"/>
    </row>
    <row r="15" spans="1:21" ht="15.75">
      <c r="A15" s="115"/>
      <c r="B15" s="55" t="s">
        <v>18</v>
      </c>
      <c r="C15" s="4" t="s">
        <v>19</v>
      </c>
      <c r="D15" s="5">
        <v>78107.47</v>
      </c>
      <c r="E15" s="5">
        <v>228385.6</v>
      </c>
      <c r="F15" s="5">
        <v>88145</v>
      </c>
      <c r="G15" s="5">
        <v>16690</v>
      </c>
      <c r="H15" s="76">
        <v>70225.23000000001</v>
      </c>
      <c r="I15" s="76">
        <v>9825.36</v>
      </c>
      <c r="J15" s="5">
        <f t="shared" si="4"/>
        <v>-7882.239999999991</v>
      </c>
      <c r="K15" s="5">
        <f t="shared" si="5"/>
        <v>-17919.76999999999</v>
      </c>
      <c r="L15" s="5">
        <f t="shared" si="6"/>
        <v>-158160.37</v>
      </c>
      <c r="M15" s="5">
        <f t="shared" si="7"/>
        <v>-6864.639999999999</v>
      </c>
      <c r="N15" s="34">
        <f t="shared" si="1"/>
        <v>0.8990846842177836</v>
      </c>
      <c r="O15" s="34">
        <f t="shared" si="2"/>
        <v>0.7967012309263147</v>
      </c>
      <c r="P15" s="34">
        <f t="shared" si="3"/>
        <v>0.30748536685325173</v>
      </c>
      <c r="U15" s="59"/>
    </row>
    <row r="16" spans="1:21" ht="15.75">
      <c r="A16" s="115"/>
      <c r="B16" s="55" t="s">
        <v>15</v>
      </c>
      <c r="C16" s="4" t="s">
        <v>20</v>
      </c>
      <c r="D16" s="5">
        <v>18.06</v>
      </c>
      <c r="E16" s="5"/>
      <c r="F16" s="5"/>
      <c r="G16" s="5"/>
      <c r="H16" s="77">
        <v>-0.1</v>
      </c>
      <c r="I16" s="77">
        <v>0</v>
      </c>
      <c r="J16" s="5">
        <f t="shared" si="4"/>
        <v>-18.16</v>
      </c>
      <c r="K16" s="5">
        <f t="shared" si="5"/>
        <v>-0.1</v>
      </c>
      <c r="L16" s="5">
        <f t="shared" si="6"/>
        <v>-0.1</v>
      </c>
      <c r="M16" s="5">
        <f t="shared" si="7"/>
        <v>0</v>
      </c>
      <c r="N16" s="34">
        <f t="shared" si="1"/>
        <v>-0.005537098560354375</v>
      </c>
      <c r="O16" s="34">
        <f t="shared" si="2"/>
      </c>
      <c r="P16" s="34">
        <f t="shared" si="3"/>
      </c>
      <c r="U16" s="59"/>
    </row>
    <row r="17" spans="1:21" ht="15.75">
      <c r="A17" s="93"/>
      <c r="B17" s="43"/>
      <c r="C17" s="44" t="s">
        <v>9</v>
      </c>
      <c r="D17" s="27">
        <f aca="true" t="shared" si="8" ref="D17:I17">SUM(D6:D16)</f>
        <v>5605643.2299999995</v>
      </c>
      <c r="E17" s="27">
        <f t="shared" si="8"/>
        <v>20001705.400000002</v>
      </c>
      <c r="F17" s="27">
        <f t="shared" si="8"/>
        <v>6601746.000000001</v>
      </c>
      <c r="G17" s="27">
        <f t="shared" si="8"/>
        <v>3159817.1</v>
      </c>
      <c r="H17" s="27">
        <f t="shared" si="8"/>
        <v>4737832.130000001</v>
      </c>
      <c r="I17" s="27">
        <f t="shared" si="8"/>
        <v>46738.84</v>
      </c>
      <c r="J17" s="27">
        <f t="shared" si="4"/>
        <v>-867811.0999999987</v>
      </c>
      <c r="K17" s="27">
        <f t="shared" si="5"/>
        <v>-1863913.87</v>
      </c>
      <c r="L17" s="27">
        <f t="shared" si="6"/>
        <v>-15263873.270000001</v>
      </c>
      <c r="M17" s="27">
        <f>I17-G17</f>
        <v>-3113078.2600000002</v>
      </c>
      <c r="N17" s="45">
        <f t="shared" si="1"/>
        <v>0.8451897374853092</v>
      </c>
      <c r="O17" s="45">
        <f t="shared" si="2"/>
        <v>0.7176634984139044</v>
      </c>
      <c r="P17" s="45">
        <f t="shared" si="3"/>
        <v>0.23687140847499935</v>
      </c>
      <c r="U17" s="59"/>
    </row>
    <row r="18" spans="1:21" ht="15.75">
      <c r="A18" s="56" t="s">
        <v>76</v>
      </c>
      <c r="B18" s="55" t="s">
        <v>22</v>
      </c>
      <c r="C18" s="4" t="s">
        <v>23</v>
      </c>
      <c r="D18" s="5">
        <v>32</v>
      </c>
      <c r="E18" s="5">
        <v>140</v>
      </c>
      <c r="F18" s="5">
        <v>55</v>
      </c>
      <c r="G18" s="5">
        <v>10</v>
      </c>
      <c r="H18" s="78">
        <v>20</v>
      </c>
      <c r="I18" s="78">
        <v>0</v>
      </c>
      <c r="J18" s="5">
        <f t="shared" si="4"/>
        <v>-12</v>
      </c>
      <c r="K18" s="5">
        <f t="shared" si="5"/>
        <v>-35</v>
      </c>
      <c r="L18" s="5">
        <f t="shared" si="6"/>
        <v>-120</v>
      </c>
      <c r="M18" s="5">
        <f t="shared" si="7"/>
        <v>-10</v>
      </c>
      <c r="N18" s="34">
        <f t="shared" si="1"/>
        <v>0.625</v>
      </c>
      <c r="O18" s="34">
        <f t="shared" si="2"/>
        <v>0.36363636363636365</v>
      </c>
      <c r="P18" s="34">
        <f t="shared" si="3"/>
        <v>0.14285714285714285</v>
      </c>
      <c r="U18" s="59"/>
    </row>
    <row r="19" spans="1:21" ht="19.5" customHeight="1">
      <c r="A19" s="56" t="s">
        <v>21</v>
      </c>
      <c r="B19" s="55" t="s">
        <v>22</v>
      </c>
      <c r="C19" s="4" t="s">
        <v>97</v>
      </c>
      <c r="D19" s="5">
        <v>99</v>
      </c>
      <c r="E19" s="5"/>
      <c r="F19" s="5"/>
      <c r="G19" s="5"/>
      <c r="H19" s="78">
        <v>47.2</v>
      </c>
      <c r="I19" s="78">
        <v>4.8</v>
      </c>
      <c r="J19" s="5">
        <f t="shared" si="4"/>
        <v>-51.8</v>
      </c>
      <c r="K19" s="5">
        <f t="shared" si="5"/>
        <v>47.2</v>
      </c>
      <c r="L19" s="5">
        <f t="shared" si="6"/>
        <v>47.2</v>
      </c>
      <c r="M19" s="5">
        <f t="shared" si="7"/>
        <v>4.8</v>
      </c>
      <c r="N19" s="34">
        <f t="shared" si="1"/>
        <v>0.4767676767676768</v>
      </c>
      <c r="O19" s="34">
        <f t="shared" si="2"/>
      </c>
      <c r="P19" s="34">
        <f t="shared" si="3"/>
      </c>
      <c r="U19" s="59"/>
    </row>
    <row r="20" spans="1:21" ht="31.5">
      <c r="A20" s="57" t="s">
        <v>25</v>
      </c>
      <c r="B20" s="58" t="s">
        <v>78</v>
      </c>
      <c r="C20" s="4" t="s">
        <v>26</v>
      </c>
      <c r="D20" s="5">
        <v>304</v>
      </c>
      <c r="E20" s="5">
        <v>969.6</v>
      </c>
      <c r="F20" s="5">
        <v>422</v>
      </c>
      <c r="G20" s="5">
        <v>115</v>
      </c>
      <c r="H20" s="78">
        <v>6.4</v>
      </c>
      <c r="I20" s="78">
        <v>0</v>
      </c>
      <c r="J20" s="5">
        <f t="shared" si="4"/>
        <v>-297.6</v>
      </c>
      <c r="K20" s="5">
        <f t="shared" si="5"/>
        <v>-415.6</v>
      </c>
      <c r="L20" s="5">
        <f t="shared" si="6"/>
        <v>-963.2</v>
      </c>
      <c r="M20" s="5">
        <f t="shared" si="7"/>
        <v>-115</v>
      </c>
      <c r="N20" s="34">
        <f t="shared" si="1"/>
        <v>0.021052631578947368</v>
      </c>
      <c r="O20" s="34">
        <f t="shared" si="2"/>
        <v>0.015165876777251185</v>
      </c>
      <c r="P20" s="34">
        <f t="shared" si="3"/>
        <v>0.006600660066006601</v>
      </c>
      <c r="U20" s="59"/>
    </row>
    <row r="21" spans="1:21" ht="15.75">
      <c r="A21" s="56" t="s">
        <v>24</v>
      </c>
      <c r="B21" s="55" t="s">
        <v>11</v>
      </c>
      <c r="C21" s="4" t="s">
        <v>80</v>
      </c>
      <c r="D21" s="5">
        <v>25</v>
      </c>
      <c r="E21" s="5">
        <v>120</v>
      </c>
      <c r="F21" s="5">
        <v>30</v>
      </c>
      <c r="G21" s="5">
        <v>5</v>
      </c>
      <c r="H21" s="78">
        <v>20</v>
      </c>
      <c r="I21" s="78">
        <v>5</v>
      </c>
      <c r="J21" s="5">
        <f t="shared" si="4"/>
        <v>-5</v>
      </c>
      <c r="K21" s="5">
        <f t="shared" si="5"/>
        <v>-10</v>
      </c>
      <c r="L21" s="5">
        <f t="shared" si="6"/>
        <v>-100</v>
      </c>
      <c r="M21" s="5">
        <f t="shared" si="7"/>
        <v>0</v>
      </c>
      <c r="N21" s="34">
        <f t="shared" si="1"/>
        <v>0.8</v>
      </c>
      <c r="O21" s="34">
        <f t="shared" si="2"/>
        <v>0.6666666666666666</v>
      </c>
      <c r="P21" s="34">
        <f t="shared" si="3"/>
        <v>0.16666666666666666</v>
      </c>
      <c r="U21" s="59"/>
    </row>
    <row r="22" spans="1:21" ht="27.75" customHeight="1">
      <c r="A22" s="117"/>
      <c r="B22" s="117"/>
      <c r="C22" s="40" t="s">
        <v>27</v>
      </c>
      <c r="D22" s="83">
        <f aca="true" t="shared" si="9" ref="D22:I22">D26+D29+D37+D47+D49+D55+D59+D61+D72</f>
        <v>2098816.1399999997</v>
      </c>
      <c r="E22" s="84">
        <f t="shared" si="9"/>
        <v>6224060.930000001</v>
      </c>
      <c r="F22" s="84">
        <f t="shared" si="9"/>
        <v>2483324.41</v>
      </c>
      <c r="G22" s="84">
        <f t="shared" si="9"/>
        <v>464434.2</v>
      </c>
      <c r="H22" s="84">
        <f t="shared" si="9"/>
        <v>2662500.5200000005</v>
      </c>
      <c r="I22" s="84">
        <f t="shared" si="9"/>
        <v>347945.76999999996</v>
      </c>
      <c r="J22" s="38">
        <f t="shared" si="4"/>
        <v>563684.3800000008</v>
      </c>
      <c r="K22" s="38">
        <f t="shared" si="5"/>
        <v>179176.11000000034</v>
      </c>
      <c r="L22" s="38">
        <f t="shared" si="6"/>
        <v>-3561560.41</v>
      </c>
      <c r="M22" s="38">
        <f t="shared" si="7"/>
        <v>-116488.43000000005</v>
      </c>
      <c r="N22" s="39">
        <f t="shared" si="1"/>
        <v>1.2685725391839233</v>
      </c>
      <c r="O22" s="39">
        <f t="shared" si="2"/>
        <v>1.0721517129532023</v>
      </c>
      <c r="P22" s="39">
        <f t="shared" si="3"/>
        <v>0.427775458811262</v>
      </c>
      <c r="T22" s="6"/>
      <c r="U22" s="59"/>
    </row>
    <row r="23" spans="1:16" ht="15.75">
      <c r="A23" s="92" t="s">
        <v>25</v>
      </c>
      <c r="B23" s="90" t="s">
        <v>78</v>
      </c>
      <c r="C23" s="7" t="s">
        <v>99</v>
      </c>
      <c r="D23" s="5">
        <v>40788.65</v>
      </c>
      <c r="E23" s="5">
        <f>135475.5+25225.6</f>
        <v>160701.1</v>
      </c>
      <c r="F23" s="5">
        <v>60450</v>
      </c>
      <c r="G23" s="5">
        <v>13600</v>
      </c>
      <c r="H23" s="11">
        <v>58804.329999999994</v>
      </c>
      <c r="I23" s="11">
        <v>7977.66</v>
      </c>
      <c r="J23" s="8">
        <f t="shared" si="4"/>
        <v>18015.679999999993</v>
      </c>
      <c r="K23" s="8">
        <f t="shared" si="5"/>
        <v>-1645.6700000000055</v>
      </c>
      <c r="L23" s="8">
        <f t="shared" si="6"/>
        <v>-101896.77000000002</v>
      </c>
      <c r="M23" s="8">
        <f t="shared" si="7"/>
        <v>-5622.34</v>
      </c>
      <c r="N23" s="35">
        <f t="shared" si="1"/>
        <v>1.4416836546441227</v>
      </c>
      <c r="O23" s="35">
        <f t="shared" si="2"/>
        <v>0.9727763440860214</v>
      </c>
      <c r="P23" s="35">
        <f t="shared" si="3"/>
        <v>0.36592363088989427</v>
      </c>
    </row>
    <row r="24" spans="1:16" ht="15.75">
      <c r="A24" s="115"/>
      <c r="B24" s="116"/>
      <c r="C24" s="7" t="s">
        <v>28</v>
      </c>
      <c r="D24" s="3">
        <v>3971.23</v>
      </c>
      <c r="E24" s="5">
        <v>31937.8</v>
      </c>
      <c r="F24" s="5">
        <v>31937.8</v>
      </c>
      <c r="G24" s="5">
        <v>0</v>
      </c>
      <c r="H24" s="8">
        <v>39519.14</v>
      </c>
      <c r="I24" s="8">
        <v>0</v>
      </c>
      <c r="J24" s="5">
        <f t="shared" si="4"/>
        <v>35547.909999999996</v>
      </c>
      <c r="K24" s="5">
        <f t="shared" si="5"/>
        <v>7581.34</v>
      </c>
      <c r="L24" s="5">
        <f t="shared" si="6"/>
        <v>7581.34</v>
      </c>
      <c r="M24" s="5">
        <f t="shared" si="7"/>
        <v>0</v>
      </c>
      <c r="N24" s="35">
        <f t="shared" si="1"/>
        <v>9.951360157935953</v>
      </c>
      <c r="O24" s="35">
        <f t="shared" si="2"/>
        <v>1.2373782790298644</v>
      </c>
      <c r="P24" s="35">
        <f t="shared" si="3"/>
        <v>1.2373782790298644</v>
      </c>
    </row>
    <row r="25" spans="1:16" ht="15.75">
      <c r="A25" s="115"/>
      <c r="B25" s="116"/>
      <c r="C25" s="7" t="s">
        <v>51</v>
      </c>
      <c r="D25" s="3">
        <v>28167.180000000004</v>
      </c>
      <c r="E25" s="5">
        <f>110819.4+14383.9-8662.9</f>
        <v>116540.4</v>
      </c>
      <c r="F25" s="5">
        <v>39700</v>
      </c>
      <c r="G25" s="5">
        <v>8550</v>
      </c>
      <c r="H25" s="3">
        <v>38960.83</v>
      </c>
      <c r="I25" s="3">
        <v>7133.889999999999</v>
      </c>
      <c r="J25" s="8">
        <f t="shared" si="4"/>
        <v>10793.649999999998</v>
      </c>
      <c r="K25" s="8">
        <f t="shared" si="5"/>
        <v>-739.1699999999983</v>
      </c>
      <c r="L25" s="8">
        <f t="shared" si="6"/>
        <v>-77579.56999999999</v>
      </c>
      <c r="M25" s="8">
        <f t="shared" si="7"/>
        <v>-1416.1100000000006</v>
      </c>
      <c r="N25" s="35">
        <f t="shared" si="1"/>
        <v>1.3831995251210805</v>
      </c>
      <c r="O25" s="35">
        <f t="shared" si="2"/>
        <v>0.9813811083123426</v>
      </c>
      <c r="P25" s="35">
        <f t="shared" si="3"/>
        <v>0.33431179230550095</v>
      </c>
    </row>
    <row r="26" spans="1:16" ht="15.75">
      <c r="A26" s="93"/>
      <c r="B26" s="91"/>
      <c r="C26" s="44" t="s">
        <v>9</v>
      </c>
      <c r="D26" s="27">
        <f aca="true" t="shared" si="10" ref="D26:I26">SUM(D23:D25)</f>
        <v>72927.06000000001</v>
      </c>
      <c r="E26" s="27">
        <f t="shared" si="10"/>
        <v>309179.3</v>
      </c>
      <c r="F26" s="85">
        <f t="shared" si="10"/>
        <v>132087.8</v>
      </c>
      <c r="G26" s="85">
        <f t="shared" si="10"/>
        <v>22150</v>
      </c>
      <c r="H26" s="85">
        <f t="shared" si="10"/>
        <v>137284.3</v>
      </c>
      <c r="I26" s="85">
        <f t="shared" si="10"/>
        <v>15111.55</v>
      </c>
      <c r="J26" s="27">
        <f t="shared" si="4"/>
        <v>64357.239999999976</v>
      </c>
      <c r="K26" s="27">
        <f t="shared" si="5"/>
        <v>5196.5</v>
      </c>
      <c r="L26" s="27">
        <f t="shared" si="6"/>
        <v>-171895</v>
      </c>
      <c r="M26" s="27">
        <f t="shared" si="7"/>
        <v>-7038.450000000001</v>
      </c>
      <c r="N26" s="46">
        <f t="shared" si="1"/>
        <v>1.8824877898546846</v>
      </c>
      <c r="O26" s="46">
        <f t="shared" si="2"/>
        <v>1.0393412563461577</v>
      </c>
      <c r="P26" s="46">
        <f t="shared" si="3"/>
        <v>0.44402810925569725</v>
      </c>
    </row>
    <row r="27" spans="1:16" ht="15.75">
      <c r="A27" s="96">
        <v>951</v>
      </c>
      <c r="B27" s="96" t="s">
        <v>11</v>
      </c>
      <c r="C27" s="9" t="s">
        <v>29</v>
      </c>
      <c r="D27" s="89">
        <v>26245.52</v>
      </c>
      <c r="E27" s="5">
        <v>91712.1</v>
      </c>
      <c r="F27" s="71">
        <v>30703</v>
      </c>
      <c r="G27" s="71">
        <v>5900</v>
      </c>
      <c r="H27" s="11">
        <v>35242.189999999995</v>
      </c>
      <c r="I27" s="11">
        <v>8654.740000000002</v>
      </c>
      <c r="J27" s="5">
        <f t="shared" si="4"/>
        <v>8996.669999999995</v>
      </c>
      <c r="K27" s="5">
        <f t="shared" si="5"/>
        <v>4539.189999999995</v>
      </c>
      <c r="L27" s="5">
        <f t="shared" si="6"/>
        <v>-56469.91000000001</v>
      </c>
      <c r="M27" s="5">
        <f t="shared" si="7"/>
        <v>2754.7400000000016</v>
      </c>
      <c r="N27" s="35">
        <f t="shared" si="1"/>
        <v>1.3427887883341612</v>
      </c>
      <c r="O27" s="35">
        <f t="shared" si="2"/>
        <v>1.1478419046998662</v>
      </c>
      <c r="P27" s="35">
        <f t="shared" si="3"/>
        <v>0.38426979646088133</v>
      </c>
    </row>
    <row r="28" spans="1:16" ht="15.75">
      <c r="A28" s="96"/>
      <c r="B28" s="96"/>
      <c r="C28" s="7" t="s">
        <v>30</v>
      </c>
      <c r="D28" s="89">
        <v>2844.2</v>
      </c>
      <c r="E28" s="5">
        <v>14224.9</v>
      </c>
      <c r="F28" s="71">
        <v>2622.1</v>
      </c>
      <c r="G28" s="71">
        <v>1380.8</v>
      </c>
      <c r="H28" s="11">
        <v>3745.48</v>
      </c>
      <c r="I28" s="11">
        <v>785.01</v>
      </c>
      <c r="J28" s="5">
        <f t="shared" si="4"/>
        <v>901.2800000000002</v>
      </c>
      <c r="K28" s="5">
        <f t="shared" si="5"/>
        <v>1123.38</v>
      </c>
      <c r="L28" s="5">
        <f t="shared" si="6"/>
        <v>-10479.42</v>
      </c>
      <c r="M28" s="5">
        <f t="shared" si="7"/>
        <v>-595.79</v>
      </c>
      <c r="N28" s="35">
        <f t="shared" si="1"/>
        <v>1.3168834821742494</v>
      </c>
      <c r="O28" s="35">
        <f t="shared" si="2"/>
        <v>1.4284275962015178</v>
      </c>
      <c r="P28" s="35">
        <f t="shared" si="3"/>
        <v>0.263304487202019</v>
      </c>
    </row>
    <row r="29" spans="1:16" ht="15.75">
      <c r="A29" s="96"/>
      <c r="B29" s="96"/>
      <c r="C29" s="47" t="s">
        <v>9</v>
      </c>
      <c r="D29" s="27">
        <f aca="true" t="shared" si="11" ref="D29:I29">D27+D28</f>
        <v>29089.72</v>
      </c>
      <c r="E29" s="27">
        <f t="shared" si="11"/>
        <v>105937</v>
      </c>
      <c r="F29" s="85">
        <f t="shared" si="11"/>
        <v>33325.1</v>
      </c>
      <c r="G29" s="85">
        <f t="shared" si="11"/>
        <v>7280.8</v>
      </c>
      <c r="H29" s="85">
        <f t="shared" si="11"/>
        <v>38987.67</v>
      </c>
      <c r="I29" s="85">
        <f t="shared" si="11"/>
        <v>9439.750000000002</v>
      </c>
      <c r="J29" s="27">
        <f t="shared" si="4"/>
        <v>9897.949999999997</v>
      </c>
      <c r="K29" s="27">
        <f t="shared" si="5"/>
        <v>5662.57</v>
      </c>
      <c r="L29" s="27">
        <f t="shared" si="6"/>
        <v>-66949.33</v>
      </c>
      <c r="M29" s="27">
        <f t="shared" si="7"/>
        <v>2158.9500000000016</v>
      </c>
      <c r="N29" s="46">
        <f t="shared" si="1"/>
        <v>1.3402559392115152</v>
      </c>
      <c r="O29" s="46">
        <f t="shared" si="2"/>
        <v>1.1699190700102926</v>
      </c>
      <c r="P29" s="46">
        <f t="shared" si="3"/>
        <v>0.36802694054013235</v>
      </c>
    </row>
    <row r="30" spans="1:16" ht="15.75">
      <c r="A30" s="113" t="s">
        <v>31</v>
      </c>
      <c r="B30" s="96" t="s">
        <v>32</v>
      </c>
      <c r="C30" s="7" t="s">
        <v>33</v>
      </c>
      <c r="D30" s="3"/>
      <c r="E30" s="3">
        <v>496</v>
      </c>
      <c r="F30" s="70">
        <f>G30</f>
        <v>0</v>
      </c>
      <c r="G30" s="70">
        <v>0</v>
      </c>
      <c r="H30" s="3">
        <v>0</v>
      </c>
      <c r="I30" s="3">
        <v>0</v>
      </c>
      <c r="J30" s="3">
        <f t="shared" si="4"/>
        <v>0</v>
      </c>
      <c r="K30" s="3">
        <f t="shared" si="5"/>
        <v>0</v>
      </c>
      <c r="L30" s="3">
        <f t="shared" si="6"/>
        <v>-496</v>
      </c>
      <c r="M30" s="3">
        <f t="shared" si="7"/>
        <v>0</v>
      </c>
      <c r="N30" s="35">
        <f t="shared" si="1"/>
      </c>
      <c r="O30" s="35">
        <f t="shared" si="2"/>
      </c>
      <c r="P30" s="35">
        <f t="shared" si="3"/>
        <v>0</v>
      </c>
    </row>
    <row r="31" spans="1:16" ht="15.75">
      <c r="A31" s="113"/>
      <c r="B31" s="96"/>
      <c r="C31" s="10" t="s">
        <v>34</v>
      </c>
      <c r="D31" s="3">
        <v>23667.950000000004</v>
      </c>
      <c r="E31" s="3">
        <v>100081.7</v>
      </c>
      <c r="F31" s="70">
        <v>38000</v>
      </c>
      <c r="G31" s="70">
        <v>8500</v>
      </c>
      <c r="H31" s="3">
        <v>31581.82</v>
      </c>
      <c r="I31" s="3">
        <v>1784.3100000000002</v>
      </c>
      <c r="J31" s="3">
        <f t="shared" si="4"/>
        <v>7913.869999999995</v>
      </c>
      <c r="K31" s="3">
        <f t="shared" si="5"/>
        <v>-6418.18</v>
      </c>
      <c r="L31" s="3">
        <f t="shared" si="6"/>
        <v>-68499.88</v>
      </c>
      <c r="M31" s="3">
        <f t="shared" si="7"/>
        <v>-6715.69</v>
      </c>
      <c r="N31" s="35">
        <f t="shared" si="1"/>
        <v>1.3343707418682225</v>
      </c>
      <c r="O31" s="35">
        <f t="shared" si="2"/>
        <v>0.8311005263157895</v>
      </c>
      <c r="P31" s="35">
        <f t="shared" si="3"/>
        <v>0.3155603871636873</v>
      </c>
    </row>
    <row r="32" spans="1:16" ht="15.75">
      <c r="A32" s="113"/>
      <c r="B32" s="96"/>
      <c r="C32" s="9" t="s">
        <v>35</v>
      </c>
      <c r="D32" s="3">
        <v>1126.2</v>
      </c>
      <c r="E32" s="3">
        <v>557</v>
      </c>
      <c r="F32" s="70">
        <v>232</v>
      </c>
      <c r="G32" s="70">
        <v>46.4</v>
      </c>
      <c r="H32" s="3">
        <v>3577.08</v>
      </c>
      <c r="I32" s="3">
        <v>511.41</v>
      </c>
      <c r="J32" s="3">
        <f t="shared" si="4"/>
        <v>2450.88</v>
      </c>
      <c r="K32" s="3">
        <f t="shared" si="5"/>
        <v>3345.08</v>
      </c>
      <c r="L32" s="3">
        <f t="shared" si="6"/>
        <v>3020.08</v>
      </c>
      <c r="M32" s="3">
        <f t="shared" si="7"/>
        <v>465.01000000000005</v>
      </c>
      <c r="N32" s="35">
        <f t="shared" si="1"/>
        <v>3.176238678742674</v>
      </c>
      <c r="O32" s="35">
        <f t="shared" si="2"/>
        <v>15.418448275862069</v>
      </c>
      <c r="P32" s="35">
        <f t="shared" si="3"/>
        <v>6.422046678635548</v>
      </c>
    </row>
    <row r="33" spans="1:16" ht="15.75">
      <c r="A33" s="113"/>
      <c r="B33" s="96"/>
      <c r="C33" s="9" t="s">
        <v>36</v>
      </c>
      <c r="D33" s="5">
        <f>D34+D36+D35</f>
        <v>26200.7</v>
      </c>
      <c r="E33" s="5">
        <f>E34+E36+E35</f>
        <v>200264</v>
      </c>
      <c r="F33" s="71">
        <f>F34+F36+F35</f>
        <v>145730.69999999998</v>
      </c>
      <c r="G33" s="71">
        <f>G34+G36+G35</f>
        <v>4580.799999999999</v>
      </c>
      <c r="H33" s="71">
        <v>147747.43000000002</v>
      </c>
      <c r="I33" s="71">
        <v>4431.900000000001</v>
      </c>
      <c r="J33" s="11">
        <f t="shared" si="4"/>
        <v>121546.73000000003</v>
      </c>
      <c r="K33" s="11">
        <f t="shared" si="5"/>
        <v>2016.7300000000396</v>
      </c>
      <c r="L33" s="11">
        <f t="shared" si="6"/>
        <v>-52516.56999999998</v>
      </c>
      <c r="M33" s="11">
        <f t="shared" si="7"/>
        <v>-148.89999999999873</v>
      </c>
      <c r="N33" s="35">
        <f t="shared" si="1"/>
        <v>5.639064223474946</v>
      </c>
      <c r="O33" s="35">
        <f t="shared" si="2"/>
        <v>1.0138387450276438</v>
      </c>
      <c r="P33" s="35">
        <f t="shared" si="3"/>
        <v>0.7377633024407783</v>
      </c>
    </row>
    <row r="34" spans="1:16" ht="15.75">
      <c r="A34" s="113"/>
      <c r="B34" s="96"/>
      <c r="C34" s="12" t="s">
        <v>37</v>
      </c>
      <c r="D34" s="13">
        <v>12880.88</v>
      </c>
      <c r="E34" s="82">
        <f>48594.6+85630.3+29092.9</f>
        <v>163317.8</v>
      </c>
      <c r="F34" s="82">
        <v>132346.6</v>
      </c>
      <c r="G34" s="82">
        <v>2527.6</v>
      </c>
      <c r="H34" s="13">
        <v>130725.99</v>
      </c>
      <c r="I34" s="13">
        <v>1666.67</v>
      </c>
      <c r="J34" s="13">
        <f t="shared" si="4"/>
        <v>117845.11</v>
      </c>
      <c r="K34" s="13">
        <f t="shared" si="5"/>
        <v>-1620.6100000000006</v>
      </c>
      <c r="L34" s="13">
        <f t="shared" si="6"/>
        <v>-32591.809999999983</v>
      </c>
      <c r="M34" s="13">
        <f t="shared" si="7"/>
        <v>-860.9299999999998</v>
      </c>
      <c r="N34" s="35">
        <f t="shared" si="1"/>
        <v>10.148839986087909</v>
      </c>
      <c r="O34" s="35">
        <f t="shared" si="2"/>
        <v>0.9877548044301856</v>
      </c>
      <c r="P34" s="35">
        <f t="shared" si="3"/>
        <v>0.8004393274952272</v>
      </c>
    </row>
    <row r="35" spans="1:16" ht="15.75">
      <c r="A35" s="113"/>
      <c r="B35" s="96"/>
      <c r="C35" s="12" t="s">
        <v>38</v>
      </c>
      <c r="D35" s="13">
        <v>1307.34</v>
      </c>
      <c r="E35" s="82">
        <v>1867.8</v>
      </c>
      <c r="F35" s="82">
        <v>160.3</v>
      </c>
      <c r="G35" s="82">
        <v>0</v>
      </c>
      <c r="H35" s="13">
        <v>893.33</v>
      </c>
      <c r="I35" s="13">
        <v>333.33</v>
      </c>
      <c r="J35" s="13">
        <f t="shared" si="4"/>
        <v>-414.0099999999999</v>
      </c>
      <c r="K35" s="13">
        <f t="shared" si="5"/>
        <v>733.03</v>
      </c>
      <c r="L35" s="13">
        <f t="shared" si="6"/>
        <v>-974.4699999999999</v>
      </c>
      <c r="M35" s="13">
        <f t="shared" si="7"/>
        <v>333.33</v>
      </c>
      <c r="N35" s="35">
        <f t="shared" si="1"/>
        <v>0.6833188000061193</v>
      </c>
      <c r="O35" s="35">
        <f t="shared" si="2"/>
        <v>5.5728633811603245</v>
      </c>
      <c r="P35" s="35">
        <f t="shared" si="3"/>
        <v>0.4782792590213085</v>
      </c>
    </row>
    <row r="36" spans="1:16" ht="15.75">
      <c r="A36" s="113"/>
      <c r="B36" s="96"/>
      <c r="C36" s="12" t="s">
        <v>39</v>
      </c>
      <c r="D36" s="27">
        <v>12012.48</v>
      </c>
      <c r="E36" s="5">
        <f>35078.4+85630.3-85630.3</f>
        <v>35078.40000000001</v>
      </c>
      <c r="F36" s="71">
        <v>13223.8</v>
      </c>
      <c r="G36" s="71">
        <v>2053.2</v>
      </c>
      <c r="H36" s="27">
        <v>16128.109999999999</v>
      </c>
      <c r="I36" s="13">
        <v>2431.8999999999996</v>
      </c>
      <c r="J36" s="13">
        <f t="shared" si="4"/>
        <v>4115.629999999999</v>
      </c>
      <c r="K36" s="13">
        <f t="shared" si="5"/>
        <v>2904.3099999999995</v>
      </c>
      <c r="L36" s="13">
        <f t="shared" si="6"/>
        <v>-18950.290000000008</v>
      </c>
      <c r="M36" s="13">
        <f t="shared" si="7"/>
        <v>378.6999999999998</v>
      </c>
      <c r="N36" s="35">
        <f t="shared" si="1"/>
        <v>1.342612849303391</v>
      </c>
      <c r="O36" s="35">
        <f t="shared" si="2"/>
        <v>1.2196274898289448</v>
      </c>
      <c r="P36" s="35">
        <f t="shared" si="3"/>
        <v>0.4597732507754058</v>
      </c>
    </row>
    <row r="37" spans="1:16" ht="15.75">
      <c r="A37" s="113"/>
      <c r="B37" s="113"/>
      <c r="C37" s="47" t="s">
        <v>9</v>
      </c>
      <c r="D37" s="27">
        <f aca="true" t="shared" si="12" ref="D37:I37">SUM(D30:D33)</f>
        <v>50994.850000000006</v>
      </c>
      <c r="E37" s="27">
        <f t="shared" si="12"/>
        <v>301398.7</v>
      </c>
      <c r="F37" s="85">
        <f t="shared" si="12"/>
        <v>183962.69999999998</v>
      </c>
      <c r="G37" s="85">
        <f t="shared" si="12"/>
        <v>13127.199999999999</v>
      </c>
      <c r="H37" s="85">
        <f t="shared" si="12"/>
        <v>182906.33000000002</v>
      </c>
      <c r="I37" s="85">
        <f t="shared" si="12"/>
        <v>6727.620000000001</v>
      </c>
      <c r="J37" s="27">
        <f t="shared" si="4"/>
        <v>131911.48</v>
      </c>
      <c r="K37" s="27">
        <f t="shared" si="5"/>
        <v>-1056.3699999999662</v>
      </c>
      <c r="L37" s="27">
        <f t="shared" si="6"/>
        <v>-118492.37</v>
      </c>
      <c r="M37" s="27">
        <f t="shared" si="7"/>
        <v>-6399.579999999998</v>
      </c>
      <c r="N37" s="46">
        <f aca="true" t="shared" si="13" ref="N37:N68">_xlfn.IFERROR(H37/D37,"")</f>
        <v>3.586760819965153</v>
      </c>
      <c r="O37" s="46">
        <f aca="true" t="shared" si="14" ref="O37:O68">_xlfn.IFERROR(H37/F37,"")</f>
        <v>0.9942576946304877</v>
      </c>
      <c r="P37" s="46">
        <f aca="true" t="shared" si="15" ref="P37:P68">_xlfn.IFERROR(H37/E37,"")</f>
        <v>0.6068583905637284</v>
      </c>
    </row>
    <row r="38" spans="1:16" ht="31.5">
      <c r="A38" s="113" t="s">
        <v>77</v>
      </c>
      <c r="B38" s="96" t="s">
        <v>15</v>
      </c>
      <c r="C38" s="9" t="s">
        <v>41</v>
      </c>
      <c r="D38" s="5">
        <v>117015.49</v>
      </c>
      <c r="E38" s="5">
        <v>326627.4</v>
      </c>
      <c r="F38" s="5">
        <v>122200.5</v>
      </c>
      <c r="G38" s="5">
        <v>7400</v>
      </c>
      <c r="H38" s="5">
        <v>103831.85</v>
      </c>
      <c r="I38" s="5">
        <v>1403.99</v>
      </c>
      <c r="J38" s="11">
        <f t="shared" si="4"/>
        <v>-13183.64</v>
      </c>
      <c r="K38" s="11">
        <f t="shared" si="5"/>
        <v>-18368.649999999994</v>
      </c>
      <c r="L38" s="11">
        <f t="shared" si="6"/>
        <v>-222795.55000000002</v>
      </c>
      <c r="M38" s="11">
        <f t="shared" si="7"/>
        <v>-5996.01</v>
      </c>
      <c r="N38" s="35">
        <f t="shared" si="13"/>
        <v>0.88733423241658</v>
      </c>
      <c r="O38" s="35">
        <f t="shared" si="14"/>
        <v>0.8496843302605145</v>
      </c>
      <c r="P38" s="35">
        <f t="shared" si="15"/>
        <v>0.3178908138141503</v>
      </c>
    </row>
    <row r="39" spans="1:16" ht="15.75">
      <c r="A39" s="113"/>
      <c r="B39" s="96"/>
      <c r="C39" s="9" t="s">
        <v>42</v>
      </c>
      <c r="D39" s="5">
        <v>36928.22</v>
      </c>
      <c r="E39" s="5">
        <f>245061.4+9204.6</f>
        <v>254266</v>
      </c>
      <c r="F39" s="5">
        <v>87104.6</v>
      </c>
      <c r="G39" s="5">
        <v>30600</v>
      </c>
      <c r="H39" s="5">
        <v>145935.62</v>
      </c>
      <c r="I39" s="5">
        <v>1259.02</v>
      </c>
      <c r="J39" s="11">
        <f t="shared" si="4"/>
        <v>109007.4</v>
      </c>
      <c r="K39" s="11">
        <f t="shared" si="5"/>
        <v>58831.01999999999</v>
      </c>
      <c r="L39" s="11">
        <f t="shared" si="6"/>
        <v>-108330.38</v>
      </c>
      <c r="M39" s="11">
        <f t="shared" si="7"/>
        <v>-29340.98</v>
      </c>
      <c r="N39" s="35">
        <f t="shared" si="13"/>
        <v>3.951872578748718</v>
      </c>
      <c r="O39" s="35">
        <f t="shared" si="14"/>
        <v>1.6754065801346885</v>
      </c>
      <c r="P39" s="35">
        <f t="shared" si="15"/>
        <v>0.5739486207357649</v>
      </c>
    </row>
    <row r="40" spans="1:16" ht="31.5">
      <c r="A40" s="113"/>
      <c r="B40" s="96"/>
      <c r="C40" s="7" t="s">
        <v>43</v>
      </c>
      <c r="D40" s="5">
        <v>17482.84</v>
      </c>
      <c r="E40" s="5">
        <f>48566.2-5534.78</f>
        <v>43031.42</v>
      </c>
      <c r="F40" s="5">
        <v>15110</v>
      </c>
      <c r="G40" s="5">
        <v>770</v>
      </c>
      <c r="H40" s="5">
        <v>14004.730000000001</v>
      </c>
      <c r="I40" s="5">
        <v>787.9100000000001</v>
      </c>
      <c r="J40" s="5">
        <f t="shared" si="4"/>
        <v>-3478.1099999999988</v>
      </c>
      <c r="K40" s="5">
        <f t="shared" si="5"/>
        <v>-1105.2699999999986</v>
      </c>
      <c r="L40" s="5">
        <f t="shared" si="6"/>
        <v>-29026.689999999995</v>
      </c>
      <c r="M40" s="5">
        <f t="shared" si="7"/>
        <v>17.910000000000082</v>
      </c>
      <c r="N40" s="35">
        <f t="shared" si="13"/>
        <v>0.8010557781230052</v>
      </c>
      <c r="O40" s="35">
        <f t="shared" si="14"/>
        <v>0.926851753805427</v>
      </c>
      <c r="P40" s="35">
        <f t="shared" si="15"/>
        <v>0.32545358716956124</v>
      </c>
    </row>
    <row r="41" spans="1:16" s="32" customFormat="1" ht="25.5" customHeight="1">
      <c r="A41" s="113"/>
      <c r="B41" s="96"/>
      <c r="C41" s="9" t="s">
        <v>42</v>
      </c>
      <c r="D41" s="5">
        <v>955.13</v>
      </c>
      <c r="E41" s="5"/>
      <c r="F41" s="5"/>
      <c r="G41" s="5"/>
      <c r="H41" s="5">
        <v>0</v>
      </c>
      <c r="I41" s="5">
        <v>0</v>
      </c>
      <c r="J41" s="5">
        <f t="shared" si="4"/>
        <v>-955.13</v>
      </c>
      <c r="K41" s="5">
        <f t="shared" si="5"/>
        <v>0</v>
      </c>
      <c r="L41" s="5">
        <f t="shared" si="6"/>
        <v>0</v>
      </c>
      <c r="M41" s="5">
        <f t="shared" si="7"/>
        <v>0</v>
      </c>
      <c r="N41" s="35">
        <f t="shared" si="13"/>
        <v>0</v>
      </c>
      <c r="O41" s="35">
        <f t="shared" si="14"/>
      </c>
      <c r="P41" s="35">
        <f t="shared" si="15"/>
      </c>
    </row>
    <row r="42" spans="1:16" ht="31.5">
      <c r="A42" s="113"/>
      <c r="B42" s="96"/>
      <c r="C42" s="7" t="s">
        <v>82</v>
      </c>
      <c r="D42" s="5">
        <v>1458.1799999999998</v>
      </c>
      <c r="E42" s="5">
        <v>2948.3</v>
      </c>
      <c r="F42" s="5">
        <v>1412.3</v>
      </c>
      <c r="G42" s="5">
        <v>0</v>
      </c>
      <c r="H42" s="5">
        <v>1801.0800000000002</v>
      </c>
      <c r="I42" s="5">
        <v>-11.580000000000002</v>
      </c>
      <c r="J42" s="5">
        <f t="shared" si="4"/>
        <v>342.9000000000003</v>
      </c>
      <c r="K42" s="5">
        <f t="shared" si="5"/>
        <v>388.7800000000002</v>
      </c>
      <c r="L42" s="5">
        <f t="shared" si="6"/>
        <v>-1147.22</v>
      </c>
      <c r="M42" s="5">
        <f t="shared" si="7"/>
        <v>-11.580000000000002</v>
      </c>
      <c r="N42" s="35">
        <f t="shared" si="13"/>
        <v>1.235156153561289</v>
      </c>
      <c r="O42" s="35">
        <f t="shared" si="14"/>
        <v>1.2752814557813497</v>
      </c>
      <c r="P42" s="35">
        <f t="shared" si="15"/>
        <v>0.6108876301597531</v>
      </c>
    </row>
    <row r="43" spans="1:16" ht="15.75">
      <c r="A43" s="113"/>
      <c r="B43" s="96"/>
      <c r="C43" s="14" t="s">
        <v>86</v>
      </c>
      <c r="D43" s="5">
        <v>64.59</v>
      </c>
      <c r="E43" s="5"/>
      <c r="F43" s="5"/>
      <c r="G43" s="5"/>
      <c r="H43" s="5">
        <v>82.13</v>
      </c>
      <c r="I43" s="5">
        <v>36.97</v>
      </c>
      <c r="J43" s="5">
        <f t="shared" si="4"/>
        <v>17.539999999999992</v>
      </c>
      <c r="K43" s="5">
        <f t="shared" si="5"/>
        <v>82.13</v>
      </c>
      <c r="L43" s="5">
        <f t="shared" si="6"/>
        <v>82.13</v>
      </c>
      <c r="M43" s="5">
        <f t="shared" si="7"/>
        <v>36.97</v>
      </c>
      <c r="N43" s="35">
        <f t="shared" si="13"/>
        <v>1.271559064870723</v>
      </c>
      <c r="O43" s="35">
        <f t="shared" si="14"/>
      </c>
      <c r="P43" s="35">
        <f t="shared" si="15"/>
      </c>
    </row>
    <row r="44" spans="1:16" ht="27.75" customHeight="1">
      <c r="A44" s="113"/>
      <c r="B44" s="96"/>
      <c r="C44" s="9" t="s">
        <v>44</v>
      </c>
      <c r="D44" s="5">
        <v>59860.55</v>
      </c>
      <c r="E44" s="3">
        <v>104142</v>
      </c>
      <c r="F44" s="3">
        <v>34840</v>
      </c>
      <c r="G44" s="3">
        <v>9600</v>
      </c>
      <c r="H44" s="5">
        <v>88164.92</v>
      </c>
      <c r="I44" s="5">
        <v>30609.23</v>
      </c>
      <c r="J44" s="3">
        <f t="shared" si="4"/>
        <v>28304.369999999995</v>
      </c>
      <c r="K44" s="3">
        <f t="shared" si="5"/>
        <v>53324.92</v>
      </c>
      <c r="L44" s="3">
        <f t="shared" si="6"/>
        <v>-15977.080000000002</v>
      </c>
      <c r="M44" s="3">
        <f t="shared" si="7"/>
        <v>21009.23</v>
      </c>
      <c r="N44" s="35">
        <f t="shared" si="13"/>
        <v>1.4728384553767047</v>
      </c>
      <c r="O44" s="35">
        <f t="shared" si="14"/>
        <v>2.530566016073479</v>
      </c>
      <c r="P44" s="35">
        <f t="shared" si="15"/>
        <v>0.8465837030208754</v>
      </c>
    </row>
    <row r="45" spans="1:16" s="32" customFormat="1" ht="18" customHeight="1" hidden="1">
      <c r="A45" s="113"/>
      <c r="B45" s="96"/>
      <c r="C45" s="61" t="s">
        <v>45</v>
      </c>
      <c r="E45" s="3">
        <v>0</v>
      </c>
      <c r="F45" s="3"/>
      <c r="G45" s="3"/>
      <c r="H45" s="5">
        <v>0</v>
      </c>
      <c r="I45" s="5">
        <v>0</v>
      </c>
      <c r="J45" s="3">
        <f>H45-D46</f>
        <v>-17383.53</v>
      </c>
      <c r="K45" s="3">
        <f t="shared" si="5"/>
        <v>0</v>
      </c>
      <c r="L45" s="3">
        <f t="shared" si="6"/>
        <v>0</v>
      </c>
      <c r="M45" s="3">
        <f t="shared" si="7"/>
        <v>0</v>
      </c>
      <c r="N45" s="35">
        <f>_xlfn.IFERROR(H45/D46,"")</f>
        <v>0</v>
      </c>
      <c r="O45" s="35">
        <f t="shared" si="14"/>
      </c>
      <c r="P45" s="35">
        <f t="shared" si="15"/>
      </c>
    </row>
    <row r="46" spans="1:16" ht="27.75" customHeight="1">
      <c r="A46" s="113"/>
      <c r="B46" s="96"/>
      <c r="C46" s="9" t="s">
        <v>46</v>
      </c>
      <c r="D46" s="5">
        <v>17383.53</v>
      </c>
      <c r="E46" s="3">
        <v>45272.2</v>
      </c>
      <c r="F46" s="3">
        <v>10300</v>
      </c>
      <c r="G46" s="3">
        <v>2500</v>
      </c>
      <c r="H46" s="3">
        <v>28053.45</v>
      </c>
      <c r="I46" s="3">
        <v>4014.28</v>
      </c>
      <c r="J46" s="3">
        <v>5230.72</v>
      </c>
      <c r="K46" s="3">
        <f t="shared" si="5"/>
        <v>17753.45</v>
      </c>
      <c r="L46" s="3">
        <f t="shared" si="6"/>
        <v>-17218.749999999996</v>
      </c>
      <c r="M46" s="3">
        <f t="shared" si="7"/>
        <v>1514.2800000000002</v>
      </c>
      <c r="N46" s="35">
        <f>_xlfn.IFERROR(H46/#REF!,"")</f>
      </c>
      <c r="O46" s="35">
        <f t="shared" si="14"/>
        <v>2.723635922330097</v>
      </c>
      <c r="P46" s="35">
        <f t="shared" si="15"/>
        <v>0.619661735016191</v>
      </c>
    </row>
    <row r="47" spans="1:16" ht="15.75">
      <c r="A47" s="113"/>
      <c r="B47" s="113"/>
      <c r="C47" s="47" t="s">
        <v>9</v>
      </c>
      <c r="D47" s="27">
        <f aca="true" t="shared" si="16" ref="D47:I47">SUM(D38:D46)</f>
        <v>251148.53</v>
      </c>
      <c r="E47" s="27">
        <f t="shared" si="16"/>
        <v>776287.3200000001</v>
      </c>
      <c r="F47" s="85">
        <f t="shared" si="16"/>
        <v>270967.4</v>
      </c>
      <c r="G47" s="85">
        <f t="shared" si="16"/>
        <v>50870</v>
      </c>
      <c r="H47" s="85">
        <f t="shared" si="16"/>
        <v>381873.78</v>
      </c>
      <c r="I47" s="85">
        <f t="shared" si="16"/>
        <v>38099.82</v>
      </c>
      <c r="J47" s="27">
        <f t="shared" si="4"/>
        <v>130725.25000000003</v>
      </c>
      <c r="K47" s="27">
        <f t="shared" si="5"/>
        <v>110906.38</v>
      </c>
      <c r="L47" s="27">
        <f t="shared" si="6"/>
        <v>-394413.54000000004</v>
      </c>
      <c r="M47" s="27">
        <f t="shared" si="7"/>
        <v>-12770.18</v>
      </c>
      <c r="N47" s="35">
        <f t="shared" si="13"/>
        <v>1.5205097159039713</v>
      </c>
      <c r="O47" s="35">
        <f t="shared" si="14"/>
        <v>1.4092978712568376</v>
      </c>
      <c r="P47" s="35">
        <f t="shared" si="15"/>
        <v>0.4919232482117575</v>
      </c>
    </row>
    <row r="48" spans="1:16" ht="15.75">
      <c r="A48" s="113" t="s">
        <v>47</v>
      </c>
      <c r="B48" s="96" t="s">
        <v>48</v>
      </c>
      <c r="C48" s="7" t="s">
        <v>28</v>
      </c>
      <c r="D48" s="3">
        <v>8187.13</v>
      </c>
      <c r="E48" s="3">
        <v>4487</v>
      </c>
      <c r="F48" s="70">
        <v>4487</v>
      </c>
      <c r="G48" s="70">
        <v>0</v>
      </c>
      <c r="H48" s="3">
        <v>2731.14</v>
      </c>
      <c r="I48" s="3">
        <v>0</v>
      </c>
      <c r="J48" s="8">
        <f t="shared" si="4"/>
        <v>-5455.99</v>
      </c>
      <c r="K48" s="8">
        <f t="shared" si="5"/>
        <v>-1755.8600000000001</v>
      </c>
      <c r="L48" s="8">
        <f t="shared" si="6"/>
        <v>-1755.8600000000001</v>
      </c>
      <c r="M48" s="8">
        <f t="shared" si="7"/>
        <v>0</v>
      </c>
      <c r="N48" s="35">
        <f t="shared" si="13"/>
        <v>0.3335894263313273</v>
      </c>
      <c r="O48" s="35">
        <f t="shared" si="14"/>
        <v>0.6086784042790283</v>
      </c>
      <c r="P48" s="35">
        <f t="shared" si="15"/>
        <v>0.6086784042790283</v>
      </c>
    </row>
    <row r="49" spans="1:16" ht="15.75">
      <c r="A49" s="113"/>
      <c r="B49" s="96"/>
      <c r="C49" s="47" t="s">
        <v>9</v>
      </c>
      <c r="D49" s="27">
        <f>D48</f>
        <v>8187.13</v>
      </c>
      <c r="E49" s="27">
        <f>SUM(E48:E48)</f>
        <v>4487</v>
      </c>
      <c r="F49" s="86">
        <f>SUM(F48:F48)</f>
        <v>4487</v>
      </c>
      <c r="G49" s="86">
        <f>SUM(G48:G48)</f>
        <v>0</v>
      </c>
      <c r="H49" s="86">
        <f>SUM(H48:H48)</f>
        <v>2731.14</v>
      </c>
      <c r="I49" s="86">
        <f>SUM(I48:I48)</f>
        <v>0</v>
      </c>
      <c r="J49" s="48">
        <f t="shared" si="4"/>
        <v>-5455.99</v>
      </c>
      <c r="K49" s="48">
        <f t="shared" si="5"/>
        <v>-1755.8600000000001</v>
      </c>
      <c r="L49" s="48">
        <f t="shared" si="6"/>
        <v>-1755.8600000000001</v>
      </c>
      <c r="M49" s="48">
        <f t="shared" si="7"/>
        <v>0</v>
      </c>
      <c r="N49" s="35">
        <f t="shared" si="13"/>
        <v>0.3335894263313273</v>
      </c>
      <c r="O49" s="35">
        <f t="shared" si="14"/>
        <v>0.6086784042790283</v>
      </c>
      <c r="P49" s="35">
        <f t="shared" si="15"/>
        <v>0.6086784042790283</v>
      </c>
    </row>
    <row r="50" spans="1:16" s="32" customFormat="1" ht="15.75" hidden="1">
      <c r="A50" s="92" t="s">
        <v>50</v>
      </c>
      <c r="B50" s="90" t="s">
        <v>79</v>
      </c>
      <c r="C50" s="62" t="s">
        <v>28</v>
      </c>
      <c r="D50" s="3"/>
      <c r="E50" s="3"/>
      <c r="F50" s="87"/>
      <c r="G50" s="87"/>
      <c r="H50" s="3">
        <v>0</v>
      </c>
      <c r="I50" s="3">
        <v>0</v>
      </c>
      <c r="J50" s="8">
        <f t="shared" si="4"/>
        <v>0</v>
      </c>
      <c r="K50" s="8">
        <f t="shared" si="5"/>
        <v>0</v>
      </c>
      <c r="L50" s="8">
        <f t="shared" si="6"/>
        <v>0</v>
      </c>
      <c r="M50" s="8">
        <f t="shared" si="7"/>
        <v>0</v>
      </c>
      <c r="N50" s="35">
        <f t="shared" si="13"/>
      </c>
      <c r="O50" s="35">
        <f t="shared" si="14"/>
      </c>
      <c r="P50" s="35">
        <f t="shared" si="15"/>
      </c>
    </row>
    <row r="51" spans="1:16" ht="15.75">
      <c r="A51" s="92"/>
      <c r="B51" s="90"/>
      <c r="C51" s="15" t="s">
        <v>89</v>
      </c>
      <c r="D51" s="3">
        <v>154464.36</v>
      </c>
      <c r="E51" s="70">
        <f>537127.7+16130.16</f>
        <v>553257.86</v>
      </c>
      <c r="F51" s="70">
        <v>225908.06</v>
      </c>
      <c r="G51" s="70">
        <v>42843.5</v>
      </c>
      <c r="H51" s="3">
        <v>224627.16</v>
      </c>
      <c r="I51" s="3">
        <v>31188.99</v>
      </c>
      <c r="J51" s="8">
        <f t="shared" si="4"/>
        <v>70162.80000000002</v>
      </c>
      <c r="K51" s="8">
        <f t="shared" si="5"/>
        <v>-1280.8999999999942</v>
      </c>
      <c r="L51" s="8">
        <f t="shared" si="6"/>
        <v>-328630.69999999995</v>
      </c>
      <c r="M51" s="8">
        <f t="shared" si="7"/>
        <v>-11654.509999999998</v>
      </c>
      <c r="N51" s="35">
        <f t="shared" si="13"/>
        <v>1.4542329376174545</v>
      </c>
      <c r="O51" s="35">
        <f t="shared" si="14"/>
        <v>0.994329994246332</v>
      </c>
      <c r="P51" s="35">
        <f t="shared" si="15"/>
        <v>0.4060080773185943</v>
      </c>
    </row>
    <row r="52" spans="1:16" ht="15.75">
      <c r="A52" s="92"/>
      <c r="B52" s="90"/>
      <c r="C52" s="15" t="s">
        <v>83</v>
      </c>
      <c r="D52" s="3">
        <v>104699.37</v>
      </c>
      <c r="E52" s="74">
        <f>354489-4173.5</f>
        <v>350315.5</v>
      </c>
      <c r="F52" s="74">
        <v>147550.6</v>
      </c>
      <c r="G52" s="74">
        <v>28688.9</v>
      </c>
      <c r="H52" s="3">
        <v>132359.63</v>
      </c>
      <c r="I52" s="3">
        <v>19070.27</v>
      </c>
      <c r="J52" s="8">
        <f t="shared" si="4"/>
        <v>27660.26000000001</v>
      </c>
      <c r="K52" s="8">
        <f t="shared" si="5"/>
        <v>-15190.970000000001</v>
      </c>
      <c r="L52" s="8">
        <f t="shared" si="6"/>
        <v>-217955.87</v>
      </c>
      <c r="M52" s="8">
        <f t="shared" si="7"/>
        <v>-9618.630000000001</v>
      </c>
      <c r="N52" s="35">
        <f t="shared" si="13"/>
        <v>1.264187454041032</v>
      </c>
      <c r="O52" s="35">
        <f t="shared" si="14"/>
        <v>0.8970456914441555</v>
      </c>
      <c r="P52" s="35">
        <f t="shared" si="15"/>
        <v>0.3778297848653571</v>
      </c>
    </row>
    <row r="53" spans="1:16" ht="15.75">
      <c r="A53" s="92"/>
      <c r="B53" s="90"/>
      <c r="C53" s="15" t="s">
        <v>84</v>
      </c>
      <c r="D53" s="3">
        <v>1331093.42</v>
      </c>
      <c r="E53" s="71">
        <f>3510723.4+35171.1+96433.35</f>
        <v>3642327.85</v>
      </c>
      <c r="F53" s="71">
        <v>1418198.25</v>
      </c>
      <c r="G53" s="71">
        <v>287662.9</v>
      </c>
      <c r="H53" s="3">
        <v>1437513.35</v>
      </c>
      <c r="I53" s="3">
        <v>214636.75999999998</v>
      </c>
      <c r="J53" s="8">
        <f t="shared" si="4"/>
        <v>106419.93000000017</v>
      </c>
      <c r="K53" s="8">
        <f t="shared" si="5"/>
        <v>19315.100000000093</v>
      </c>
      <c r="L53" s="8">
        <f t="shared" si="6"/>
        <v>-2204814.5</v>
      </c>
      <c r="M53" s="8">
        <f t="shared" si="7"/>
        <v>-73026.14000000004</v>
      </c>
      <c r="N53" s="35">
        <f t="shared" si="13"/>
        <v>1.079949257055151</v>
      </c>
      <c r="O53" s="35">
        <f t="shared" si="14"/>
        <v>1.0136194639924285</v>
      </c>
      <c r="P53" s="35">
        <f t="shared" si="15"/>
        <v>0.39466885167956534</v>
      </c>
    </row>
    <row r="54" spans="1:16" ht="15.75">
      <c r="A54" s="92"/>
      <c r="B54" s="90"/>
      <c r="C54" s="15" t="s">
        <v>85</v>
      </c>
      <c r="D54" s="3">
        <v>1045.7</v>
      </c>
      <c r="E54" s="3"/>
      <c r="F54" s="70">
        <v>0</v>
      </c>
      <c r="G54" s="70"/>
      <c r="H54" s="3">
        <v>511.22</v>
      </c>
      <c r="I54" s="3">
        <v>67.7</v>
      </c>
      <c r="J54" s="8">
        <f t="shared" si="4"/>
        <v>-534.48</v>
      </c>
      <c r="K54" s="8">
        <f t="shared" si="5"/>
        <v>511.22</v>
      </c>
      <c r="L54" s="8">
        <f t="shared" si="6"/>
        <v>511.22</v>
      </c>
      <c r="M54" s="8">
        <f t="shared" si="7"/>
        <v>67.7</v>
      </c>
      <c r="N54" s="35">
        <f t="shared" si="13"/>
        <v>0.4888782633642536</v>
      </c>
      <c r="O54" s="35">
        <f t="shared" si="14"/>
      </c>
      <c r="P54" s="35">
        <f t="shared" si="15"/>
      </c>
    </row>
    <row r="55" spans="1:16" ht="15.75">
      <c r="A55" s="92"/>
      <c r="B55" s="90"/>
      <c r="C55" s="49" t="s">
        <v>9</v>
      </c>
      <c r="D55" s="27">
        <f aca="true" t="shared" si="17" ref="D55:I55">SUM(D50:D54)</f>
        <v>1591302.8499999999</v>
      </c>
      <c r="E55" s="27">
        <f t="shared" si="17"/>
        <v>4545901.21</v>
      </c>
      <c r="F55" s="88">
        <f t="shared" si="17"/>
        <v>1791656.9100000001</v>
      </c>
      <c r="G55" s="88">
        <f t="shared" si="17"/>
        <v>359195.30000000005</v>
      </c>
      <c r="H55" s="88">
        <f t="shared" si="17"/>
        <v>1795011.36</v>
      </c>
      <c r="I55" s="88">
        <f t="shared" si="17"/>
        <v>264963.72</v>
      </c>
      <c r="J55" s="27">
        <f t="shared" si="4"/>
        <v>203708.51000000024</v>
      </c>
      <c r="K55" s="27">
        <f t="shared" si="5"/>
        <v>3354.4499999999534</v>
      </c>
      <c r="L55" s="27">
        <f t="shared" si="6"/>
        <v>-2750889.8499999996</v>
      </c>
      <c r="M55" s="27">
        <f t="shared" si="7"/>
        <v>-94231.58000000007</v>
      </c>
      <c r="N55" s="35">
        <f t="shared" si="13"/>
        <v>1.1280136650292558</v>
      </c>
      <c r="O55" s="35">
        <f t="shared" si="14"/>
        <v>1.0018722613583424</v>
      </c>
      <c r="P55" s="35">
        <f t="shared" si="15"/>
        <v>0.39486369744493416</v>
      </c>
    </row>
    <row r="56" spans="1:16" ht="15.75">
      <c r="A56" s="114">
        <v>991</v>
      </c>
      <c r="B56" s="114" t="s">
        <v>52</v>
      </c>
      <c r="C56" s="9" t="s">
        <v>53</v>
      </c>
      <c r="D56" s="5">
        <v>20329.79</v>
      </c>
      <c r="E56" s="5">
        <v>54298.2</v>
      </c>
      <c r="F56" s="71">
        <v>21200</v>
      </c>
      <c r="G56" s="71">
        <v>4200</v>
      </c>
      <c r="H56" s="5">
        <v>20714.969999999998</v>
      </c>
      <c r="I56" s="5">
        <v>2867.47</v>
      </c>
      <c r="J56" s="5">
        <f t="shared" si="4"/>
        <v>385.17999999999665</v>
      </c>
      <c r="K56" s="5">
        <f t="shared" si="5"/>
        <v>-485.0300000000025</v>
      </c>
      <c r="L56" s="5">
        <f t="shared" si="6"/>
        <v>-33583.229999999996</v>
      </c>
      <c r="M56" s="5">
        <f t="shared" si="7"/>
        <v>-1332.5300000000002</v>
      </c>
      <c r="N56" s="35">
        <f t="shared" si="13"/>
        <v>1.0189465803631024</v>
      </c>
      <c r="O56" s="35">
        <f t="shared" si="14"/>
        <v>0.9771212264150942</v>
      </c>
      <c r="P56" s="35">
        <f t="shared" si="15"/>
        <v>0.381503806756025</v>
      </c>
    </row>
    <row r="57" spans="1:16" ht="15.75">
      <c r="A57" s="114"/>
      <c r="B57" s="114"/>
      <c r="C57" s="7" t="s">
        <v>54</v>
      </c>
      <c r="D57" s="5">
        <v>1849</v>
      </c>
      <c r="E57" s="5"/>
      <c r="F57" s="71"/>
      <c r="G57" s="71"/>
      <c r="H57" s="5">
        <v>3255.57</v>
      </c>
      <c r="I57" s="5">
        <v>992.1</v>
      </c>
      <c r="J57" s="5">
        <f t="shared" si="4"/>
        <v>1406.5700000000002</v>
      </c>
      <c r="K57" s="5">
        <f t="shared" si="5"/>
        <v>3255.57</v>
      </c>
      <c r="L57" s="5">
        <f t="shared" si="6"/>
        <v>3255.57</v>
      </c>
      <c r="M57" s="5">
        <f t="shared" si="7"/>
        <v>992.1</v>
      </c>
      <c r="N57" s="35">
        <f t="shared" si="13"/>
        <v>1.7607193077339103</v>
      </c>
      <c r="O57" s="35">
        <f t="shared" si="14"/>
      </c>
      <c r="P57" s="35">
        <f t="shared" si="15"/>
      </c>
    </row>
    <row r="58" spans="1:16" ht="15.75" hidden="1">
      <c r="A58" s="114"/>
      <c r="B58" s="114"/>
      <c r="C58" s="63" t="s">
        <v>55</v>
      </c>
      <c r="D58" s="5"/>
      <c r="E58" s="3"/>
      <c r="F58" s="70"/>
      <c r="G58" s="70"/>
      <c r="H58" s="5">
        <v>0</v>
      </c>
      <c r="I58" s="5">
        <v>0</v>
      </c>
      <c r="J58" s="3">
        <f t="shared" si="4"/>
        <v>0</v>
      </c>
      <c r="K58" s="3">
        <f t="shared" si="5"/>
        <v>0</v>
      </c>
      <c r="L58" s="3">
        <f t="shared" si="6"/>
        <v>0</v>
      </c>
      <c r="M58" s="3">
        <f t="shared" si="7"/>
        <v>0</v>
      </c>
      <c r="N58" s="35">
        <f t="shared" si="13"/>
      </c>
      <c r="O58" s="35">
        <f t="shared" si="14"/>
      </c>
      <c r="P58" s="35">
        <f t="shared" si="15"/>
      </c>
    </row>
    <row r="59" spans="1:16" ht="15.75">
      <c r="A59" s="114"/>
      <c r="B59" s="114"/>
      <c r="C59" s="47" t="s">
        <v>9</v>
      </c>
      <c r="D59" s="27">
        <f aca="true" t="shared" si="18" ref="D59:I59">SUM(D56:D58)</f>
        <v>22178.79</v>
      </c>
      <c r="E59" s="27">
        <f t="shared" si="18"/>
        <v>54298.2</v>
      </c>
      <c r="F59" s="85">
        <f t="shared" si="18"/>
        <v>21200</v>
      </c>
      <c r="G59" s="85">
        <f t="shared" si="18"/>
        <v>4200</v>
      </c>
      <c r="H59" s="85">
        <f t="shared" si="18"/>
        <v>23970.539999999997</v>
      </c>
      <c r="I59" s="85">
        <f t="shared" si="18"/>
        <v>3859.5699999999997</v>
      </c>
      <c r="J59" s="27">
        <f t="shared" si="4"/>
        <v>1791.7499999999964</v>
      </c>
      <c r="K59" s="27">
        <f t="shared" si="5"/>
        <v>2770.5399999999972</v>
      </c>
      <c r="L59" s="27">
        <f t="shared" si="6"/>
        <v>-30327.66</v>
      </c>
      <c r="M59" s="27">
        <f t="shared" si="7"/>
        <v>-340.4300000000003</v>
      </c>
      <c r="N59" s="46">
        <f t="shared" si="13"/>
        <v>1.080786643455301</v>
      </c>
      <c r="O59" s="46">
        <f t="shared" si="14"/>
        <v>1.1306858490566036</v>
      </c>
      <c r="P59" s="46">
        <f t="shared" si="15"/>
        <v>0.44146104290749966</v>
      </c>
    </row>
    <row r="60" spans="1:16" ht="15.75">
      <c r="A60" s="113" t="s">
        <v>56</v>
      </c>
      <c r="B60" s="96" t="s">
        <v>57</v>
      </c>
      <c r="C60" s="7" t="s">
        <v>58</v>
      </c>
      <c r="D60" s="5">
        <v>2486.1400000000003</v>
      </c>
      <c r="E60" s="5">
        <v>7767.5</v>
      </c>
      <c r="F60" s="71">
        <v>3663.5</v>
      </c>
      <c r="G60" s="71">
        <v>54.8</v>
      </c>
      <c r="H60" s="11">
        <v>6565.610000000001</v>
      </c>
      <c r="I60" s="11">
        <v>-7.160000000000002</v>
      </c>
      <c r="J60" s="5">
        <f t="shared" si="4"/>
        <v>4079.4700000000003</v>
      </c>
      <c r="K60" s="5">
        <f t="shared" si="5"/>
        <v>2902.1100000000006</v>
      </c>
      <c r="L60" s="5">
        <f t="shared" si="6"/>
        <v>-1201.8899999999994</v>
      </c>
      <c r="M60" s="5">
        <f t="shared" si="7"/>
        <v>-61.96</v>
      </c>
      <c r="N60" s="35">
        <f t="shared" si="13"/>
        <v>2.6408850668103967</v>
      </c>
      <c r="O60" s="35">
        <f t="shared" si="14"/>
        <v>1.7921686911423504</v>
      </c>
      <c r="P60" s="35">
        <f t="shared" si="15"/>
        <v>0.8452668168651433</v>
      </c>
    </row>
    <row r="61" spans="1:16" ht="15.75">
      <c r="A61" s="113"/>
      <c r="B61" s="96"/>
      <c r="C61" s="47" t="s">
        <v>9</v>
      </c>
      <c r="D61" s="27">
        <f aca="true" t="shared" si="19" ref="D61:J61">D60</f>
        <v>2486.1400000000003</v>
      </c>
      <c r="E61" s="27">
        <f t="shared" si="19"/>
        <v>7767.5</v>
      </c>
      <c r="F61" s="85">
        <f t="shared" si="19"/>
        <v>3663.5</v>
      </c>
      <c r="G61" s="85">
        <f t="shared" si="19"/>
        <v>54.8</v>
      </c>
      <c r="H61" s="85">
        <f t="shared" si="19"/>
        <v>6565.610000000001</v>
      </c>
      <c r="I61" s="85">
        <f t="shared" si="19"/>
        <v>-7.160000000000002</v>
      </c>
      <c r="J61" s="48">
        <f t="shared" si="19"/>
        <v>4079.4700000000003</v>
      </c>
      <c r="K61" s="48">
        <f t="shared" si="5"/>
        <v>2902.1100000000006</v>
      </c>
      <c r="L61" s="48">
        <f t="shared" si="6"/>
        <v>-1201.8899999999994</v>
      </c>
      <c r="M61" s="48">
        <f t="shared" si="7"/>
        <v>-61.96</v>
      </c>
      <c r="N61" s="46">
        <f t="shared" si="13"/>
        <v>2.6408850668103967</v>
      </c>
      <c r="O61" s="46">
        <f t="shared" si="14"/>
        <v>1.7921686911423504</v>
      </c>
      <c r="P61" s="46">
        <f t="shared" si="15"/>
        <v>0.8452668168651433</v>
      </c>
    </row>
    <row r="62" spans="1:16" ht="15.75" hidden="1">
      <c r="A62" s="92" t="s">
        <v>59</v>
      </c>
      <c r="B62" s="90" t="s">
        <v>60</v>
      </c>
      <c r="C62" s="63" t="s">
        <v>55</v>
      </c>
      <c r="D62" s="3"/>
      <c r="E62" s="5"/>
      <c r="F62" s="5"/>
      <c r="G62" s="5"/>
      <c r="H62" s="8">
        <v>0</v>
      </c>
      <c r="I62" s="8">
        <v>0</v>
      </c>
      <c r="J62" s="5">
        <f aca="true" t="shared" si="20" ref="J62:J86">H62-D62</f>
        <v>0</v>
      </c>
      <c r="K62" s="5">
        <f t="shared" si="5"/>
        <v>0</v>
      </c>
      <c r="L62" s="5">
        <f t="shared" si="6"/>
        <v>0</v>
      </c>
      <c r="M62" s="5">
        <f t="shared" si="7"/>
        <v>0</v>
      </c>
      <c r="N62" s="35">
        <f t="shared" si="13"/>
      </c>
      <c r="O62" s="35">
        <f t="shared" si="14"/>
      </c>
      <c r="P62" s="35">
        <f t="shared" si="15"/>
      </c>
    </row>
    <row r="63" spans="1:16" ht="15.75" hidden="1">
      <c r="A63" s="93"/>
      <c r="B63" s="91"/>
      <c r="C63" s="64" t="s">
        <v>9</v>
      </c>
      <c r="D63" s="27">
        <v>0</v>
      </c>
      <c r="E63" s="27">
        <f>E62</f>
        <v>0</v>
      </c>
      <c r="F63" s="27">
        <f>G63</f>
        <v>0</v>
      </c>
      <c r="G63" s="27">
        <f>G62</f>
        <v>0</v>
      </c>
      <c r="H63" s="27">
        <v>0</v>
      </c>
      <c r="I63" s="27">
        <v>0</v>
      </c>
      <c r="J63" s="48">
        <f t="shared" si="20"/>
        <v>0</v>
      </c>
      <c r="K63" s="48">
        <f t="shared" si="5"/>
        <v>0</v>
      </c>
      <c r="L63" s="48">
        <f t="shared" si="6"/>
        <v>0</v>
      </c>
      <c r="M63" s="48">
        <f t="shared" si="7"/>
        <v>0</v>
      </c>
      <c r="N63" s="35">
        <f t="shared" si="13"/>
      </c>
      <c r="O63" s="35">
        <f t="shared" si="14"/>
      </c>
      <c r="P63" s="35">
        <f t="shared" si="15"/>
      </c>
    </row>
    <row r="64" spans="1:16" ht="15.75">
      <c r="A64" s="96"/>
      <c r="B64" s="96" t="s">
        <v>61</v>
      </c>
      <c r="C64" s="10" t="s">
        <v>62</v>
      </c>
      <c r="D64" s="5">
        <v>417.45</v>
      </c>
      <c r="E64" s="5">
        <v>41.2</v>
      </c>
      <c r="F64" s="5">
        <v>41.2</v>
      </c>
      <c r="G64" s="5">
        <v>5.6</v>
      </c>
      <c r="H64" s="11">
        <v>83.07</v>
      </c>
      <c r="I64" s="11">
        <v>10.61</v>
      </c>
      <c r="J64" s="5">
        <f t="shared" si="20"/>
        <v>-334.38</v>
      </c>
      <c r="K64" s="5">
        <f t="shared" si="5"/>
        <v>41.86999999999999</v>
      </c>
      <c r="L64" s="5">
        <f t="shared" si="6"/>
        <v>41.86999999999999</v>
      </c>
      <c r="M64" s="5">
        <f t="shared" si="7"/>
        <v>5.01</v>
      </c>
      <c r="N64" s="35">
        <f t="shared" si="13"/>
        <v>0.19899389148401006</v>
      </c>
      <c r="O64" s="35">
        <f t="shared" si="14"/>
        <v>2.0162621359223296</v>
      </c>
      <c r="P64" s="35">
        <f t="shared" si="15"/>
        <v>2.0162621359223296</v>
      </c>
    </row>
    <row r="65" spans="1:16" ht="15.75">
      <c r="A65" s="96"/>
      <c r="B65" s="96"/>
      <c r="C65" s="7" t="s">
        <v>100</v>
      </c>
      <c r="D65" s="5">
        <v>24.46</v>
      </c>
      <c r="E65" s="5">
        <v>47.1</v>
      </c>
      <c r="F65" s="5">
        <v>47.1</v>
      </c>
      <c r="G65" s="5">
        <v>0</v>
      </c>
      <c r="H65" s="11">
        <v>272.04</v>
      </c>
      <c r="I65" s="11">
        <v>217.13</v>
      </c>
      <c r="J65" s="5">
        <f t="shared" si="20"/>
        <v>247.58</v>
      </c>
      <c r="K65" s="5">
        <f t="shared" si="5"/>
        <v>224.94000000000003</v>
      </c>
      <c r="L65" s="5">
        <f t="shared" si="6"/>
        <v>224.94000000000003</v>
      </c>
      <c r="M65" s="5">
        <f t="shared" si="7"/>
        <v>217.13</v>
      </c>
      <c r="N65" s="35">
        <f t="shared" si="13"/>
        <v>11.121831561733442</v>
      </c>
      <c r="O65" s="35">
        <f t="shared" si="14"/>
        <v>5.775796178343949</v>
      </c>
      <c r="P65" s="35">
        <f t="shared" si="15"/>
        <v>5.775796178343949</v>
      </c>
    </row>
    <row r="66" spans="1:16" ht="15.75">
      <c r="A66" s="96"/>
      <c r="B66" s="96"/>
      <c r="C66" s="7" t="s">
        <v>28</v>
      </c>
      <c r="D66" s="5">
        <v>9531</v>
      </c>
      <c r="E66" s="5">
        <v>6100</v>
      </c>
      <c r="F66" s="5">
        <v>6100</v>
      </c>
      <c r="G66" s="5">
        <v>0</v>
      </c>
      <c r="H66" s="11">
        <v>7387.5</v>
      </c>
      <c r="I66" s="11">
        <v>0</v>
      </c>
      <c r="J66" s="5">
        <f t="shared" si="20"/>
        <v>-2143.5</v>
      </c>
      <c r="K66" s="5">
        <f t="shared" si="5"/>
        <v>1287.5</v>
      </c>
      <c r="L66" s="5">
        <f t="shared" si="6"/>
        <v>1287.5</v>
      </c>
      <c r="M66" s="5">
        <f t="shared" si="7"/>
        <v>0</v>
      </c>
      <c r="N66" s="35">
        <f t="shared" si="13"/>
        <v>0.7751022977651872</v>
      </c>
      <c r="O66" s="35">
        <f t="shared" si="14"/>
        <v>1.2110655737704918</v>
      </c>
      <c r="P66" s="35">
        <f t="shared" si="15"/>
        <v>1.2110655737704918</v>
      </c>
    </row>
    <row r="67" spans="1:16" ht="31.5">
      <c r="A67" s="96"/>
      <c r="B67" s="96"/>
      <c r="C67" s="7" t="s">
        <v>49</v>
      </c>
      <c r="D67" s="5">
        <v>10095.35999999959</v>
      </c>
      <c r="E67" s="3">
        <v>680.5</v>
      </c>
      <c r="F67" s="3">
        <v>270</v>
      </c>
      <c r="G67" s="3">
        <v>60</v>
      </c>
      <c r="H67" s="5">
        <v>22922.360000000328</v>
      </c>
      <c r="I67" s="5">
        <v>1649.9599999999348</v>
      </c>
      <c r="J67" s="3">
        <f t="shared" si="20"/>
        <v>12827.000000000739</v>
      </c>
      <c r="K67" s="3">
        <f t="shared" si="5"/>
        <v>22652.360000000328</v>
      </c>
      <c r="L67" s="3">
        <f t="shared" si="6"/>
        <v>22241.860000000328</v>
      </c>
      <c r="M67" s="3">
        <f t="shared" si="7"/>
        <v>1589.9599999999348</v>
      </c>
      <c r="N67" s="35">
        <f t="shared" si="13"/>
        <v>2.2705837137062233</v>
      </c>
      <c r="O67" s="35">
        <f t="shared" si="14"/>
        <v>84.89762962963084</v>
      </c>
      <c r="P67" s="35">
        <f t="shared" si="15"/>
        <v>33.68458486407102</v>
      </c>
    </row>
    <row r="68" spans="1:16" ht="15.75">
      <c r="A68" s="96"/>
      <c r="B68" s="96"/>
      <c r="C68" s="7" t="s">
        <v>51</v>
      </c>
      <c r="D68" s="3">
        <v>40139.220000000016</v>
      </c>
      <c r="E68" s="3">
        <f>86939.9+8662.9</f>
        <v>95602.79999999999</v>
      </c>
      <c r="F68" s="3">
        <v>32615.7</v>
      </c>
      <c r="G68" s="3">
        <v>6540.5</v>
      </c>
      <c r="H68" s="74">
        <v>37169.569999999956</v>
      </c>
      <c r="I68" s="74">
        <v>4313.850000000003</v>
      </c>
      <c r="J68" s="3">
        <f t="shared" si="20"/>
        <v>-2969.6500000000597</v>
      </c>
      <c r="K68" s="3">
        <f t="shared" si="5"/>
        <v>4553.869999999955</v>
      </c>
      <c r="L68" s="3">
        <f t="shared" si="6"/>
        <v>-58433.23000000003</v>
      </c>
      <c r="M68" s="3">
        <f t="shared" si="7"/>
        <v>-2226.649999999997</v>
      </c>
      <c r="N68" s="35">
        <f t="shared" si="13"/>
        <v>0.926016250440341</v>
      </c>
      <c r="O68" s="35">
        <f t="shared" si="14"/>
        <v>1.1396220225228941</v>
      </c>
      <c r="P68" s="35">
        <f t="shared" si="15"/>
        <v>0.38879164626977414</v>
      </c>
    </row>
    <row r="69" spans="1:16" ht="15.75">
      <c r="A69" s="96"/>
      <c r="B69" s="96"/>
      <c r="C69" s="7" t="s">
        <v>63</v>
      </c>
      <c r="D69" s="3">
        <v>33.5</v>
      </c>
      <c r="E69" s="3"/>
      <c r="F69" s="3"/>
      <c r="G69" s="3"/>
      <c r="H69" s="74">
        <v>-6042.629999999999</v>
      </c>
      <c r="I69" s="74">
        <v>-187.08000000000004</v>
      </c>
      <c r="J69" s="3">
        <f t="shared" si="20"/>
        <v>-6076.129999999999</v>
      </c>
      <c r="K69" s="3">
        <f t="shared" si="5"/>
        <v>-6042.629999999999</v>
      </c>
      <c r="L69" s="3">
        <f t="shared" si="6"/>
        <v>-6042.629999999999</v>
      </c>
      <c r="M69" s="3">
        <f t="shared" si="7"/>
        <v>-187.08000000000004</v>
      </c>
      <c r="N69" s="35">
        <f aca="true" t="shared" si="21" ref="N69:N85">_xlfn.IFERROR(H69/D69,"")</f>
        <v>-180.37701492537312</v>
      </c>
      <c r="O69" s="35">
        <f aca="true" t="shared" si="22" ref="O69:O86">_xlfn.IFERROR(H69/F69,"")</f>
      </c>
      <c r="P69" s="35">
        <f aca="true" t="shared" si="23" ref="P69:P86">_xlfn.IFERROR(H69/E69,"")</f>
      </c>
    </row>
    <row r="70" spans="1:16" ht="15.75">
      <c r="A70" s="96"/>
      <c r="B70" s="96"/>
      <c r="C70" s="7" t="s">
        <v>40</v>
      </c>
      <c r="D70" s="3">
        <f>8058.01+55.14</f>
        <v>8113.150000000001</v>
      </c>
      <c r="E70" s="3">
        <v>16333.1</v>
      </c>
      <c r="F70" s="3">
        <v>2900</v>
      </c>
      <c r="G70" s="3">
        <v>950</v>
      </c>
      <c r="H70" s="74">
        <v>30443.34</v>
      </c>
      <c r="I70" s="74">
        <v>3607.82</v>
      </c>
      <c r="J70" s="3">
        <f t="shared" si="20"/>
        <v>22330.19</v>
      </c>
      <c r="K70" s="3">
        <f aca="true" t="shared" si="24" ref="K70:K86">H70-F70</f>
        <v>27543.34</v>
      </c>
      <c r="L70" s="3">
        <f aca="true" t="shared" si="25" ref="L70:L86">H70-E70</f>
        <v>14110.24</v>
      </c>
      <c r="M70" s="3">
        <f aca="true" t="shared" si="26" ref="M70:M85">I70-G70</f>
        <v>2657.82</v>
      </c>
      <c r="N70" s="35">
        <f t="shared" si="21"/>
        <v>3.7523452666350305</v>
      </c>
      <c r="O70" s="35">
        <f t="shared" si="22"/>
        <v>10.497703448275862</v>
      </c>
      <c r="P70" s="35">
        <f t="shared" si="23"/>
        <v>1.8639045863920505</v>
      </c>
    </row>
    <row r="71" spans="1:16" ht="15.75">
      <c r="A71" s="96"/>
      <c r="B71" s="96"/>
      <c r="C71" s="7" t="s">
        <v>102</v>
      </c>
      <c r="D71" s="3">
        <v>2146.93</v>
      </c>
      <c r="E71" s="3">
        <v>0</v>
      </c>
      <c r="F71" s="3">
        <f>G71</f>
        <v>0</v>
      </c>
      <c r="G71" s="3">
        <v>0</v>
      </c>
      <c r="H71" s="74">
        <v>934.54</v>
      </c>
      <c r="I71" s="74">
        <v>138.61</v>
      </c>
      <c r="J71" s="3">
        <f t="shared" si="20"/>
        <v>-1212.3899999999999</v>
      </c>
      <c r="K71" s="3">
        <f t="shared" si="24"/>
        <v>934.54</v>
      </c>
      <c r="L71" s="3">
        <f t="shared" si="25"/>
        <v>934.54</v>
      </c>
      <c r="M71" s="3">
        <f t="shared" si="26"/>
        <v>138.61</v>
      </c>
      <c r="N71" s="35">
        <f t="shared" si="21"/>
        <v>0.4352913229588296</v>
      </c>
      <c r="O71" s="35">
        <f t="shared" si="22"/>
      </c>
      <c r="P71" s="35">
        <f t="shared" si="23"/>
      </c>
    </row>
    <row r="72" spans="1:16" ht="15.75">
      <c r="A72" s="96"/>
      <c r="B72" s="96"/>
      <c r="C72" s="47" t="s">
        <v>64</v>
      </c>
      <c r="D72" s="27">
        <f aca="true" t="shared" si="27" ref="D72:I72">SUM(D64:D71)</f>
        <v>70501.0699999996</v>
      </c>
      <c r="E72" s="27">
        <f t="shared" si="27"/>
        <v>118804.7</v>
      </c>
      <c r="F72" s="27">
        <f t="shared" si="27"/>
        <v>41974</v>
      </c>
      <c r="G72" s="27">
        <f t="shared" si="27"/>
        <v>7556.1</v>
      </c>
      <c r="H72" s="27">
        <f t="shared" si="27"/>
        <v>93169.79000000028</v>
      </c>
      <c r="I72" s="27">
        <f t="shared" si="27"/>
        <v>9750.899999999938</v>
      </c>
      <c r="J72" s="48">
        <f t="shared" si="20"/>
        <v>22668.720000000685</v>
      </c>
      <c r="K72" s="48">
        <f t="shared" si="24"/>
        <v>51195.790000000285</v>
      </c>
      <c r="L72" s="48">
        <f t="shared" si="25"/>
        <v>-25634.909999999712</v>
      </c>
      <c r="M72" s="48">
        <f t="shared" si="26"/>
        <v>2194.7999999999374</v>
      </c>
      <c r="N72" s="46">
        <f t="shared" si="21"/>
        <v>1.3215372475907219</v>
      </c>
      <c r="O72" s="46">
        <f t="shared" si="22"/>
        <v>2.2197024348406225</v>
      </c>
      <c r="P72" s="46">
        <f t="shared" si="23"/>
        <v>0.7842264657879721</v>
      </c>
    </row>
    <row r="73" spans="1:19" ht="25.5" customHeight="1">
      <c r="A73" s="97" t="s">
        <v>65</v>
      </c>
      <c r="B73" s="97"/>
      <c r="C73" s="97"/>
      <c r="D73" s="51">
        <f aca="true" t="shared" si="28" ref="D73:I73">D5+D22</f>
        <v>7704919.369999999</v>
      </c>
      <c r="E73" s="79">
        <f t="shared" si="28"/>
        <v>26226995.930000003</v>
      </c>
      <c r="F73" s="51">
        <f t="shared" si="28"/>
        <v>9085577.41</v>
      </c>
      <c r="G73" s="51">
        <f t="shared" si="28"/>
        <v>3624381.3000000003</v>
      </c>
      <c r="H73" s="51">
        <f t="shared" si="28"/>
        <v>7400426.250000002</v>
      </c>
      <c r="I73" s="51">
        <f t="shared" si="28"/>
        <v>394694.41</v>
      </c>
      <c r="J73" s="37">
        <f t="shared" si="20"/>
        <v>-304493.1199999973</v>
      </c>
      <c r="K73" s="37">
        <f t="shared" si="24"/>
        <v>-1685151.1599999983</v>
      </c>
      <c r="L73" s="37">
        <f t="shared" si="25"/>
        <v>-18826569.68</v>
      </c>
      <c r="M73" s="37">
        <f t="shared" si="26"/>
        <v>-3229686.89</v>
      </c>
      <c r="N73" s="52">
        <f t="shared" si="21"/>
        <v>0.960480687028916</v>
      </c>
      <c r="O73" s="52">
        <f t="shared" si="22"/>
        <v>0.8145245938749865</v>
      </c>
      <c r="P73" s="52">
        <f t="shared" si="23"/>
        <v>0.28216827690642804</v>
      </c>
      <c r="R73" s="54"/>
      <c r="S73" s="60"/>
    </row>
    <row r="74" spans="1:16" ht="15.75" hidden="1">
      <c r="A74" s="98" t="s">
        <v>81</v>
      </c>
      <c r="B74" s="99"/>
      <c r="C74" s="100"/>
      <c r="D74" s="51">
        <v>3770698.64</v>
      </c>
      <c r="E74" s="51">
        <f>E73-E53-E51-E52</f>
        <v>21681094.720000003</v>
      </c>
      <c r="F74" s="51">
        <f>G74</f>
        <v>3265186.0000000005</v>
      </c>
      <c r="G74" s="51">
        <f>G73-G53-G51-G52</f>
        <v>3265186.0000000005</v>
      </c>
      <c r="H74" s="51">
        <v>5604315.930000001</v>
      </c>
      <c r="I74" s="51">
        <v>128188.20999999995</v>
      </c>
      <c r="J74" s="51">
        <f t="shared" si="20"/>
        <v>1833617.2900000005</v>
      </c>
      <c r="K74" s="51">
        <f t="shared" si="24"/>
        <v>2339129.93</v>
      </c>
      <c r="L74" s="51">
        <f t="shared" si="25"/>
        <v>-16076778.790000003</v>
      </c>
      <c r="M74" s="51">
        <f t="shared" si="26"/>
        <v>-3136997.7900000005</v>
      </c>
      <c r="N74" s="52">
        <f t="shared" si="21"/>
        <v>1.4862805185619397</v>
      </c>
      <c r="O74" s="52">
        <f t="shared" si="22"/>
        <v>1.7163848950718275</v>
      </c>
      <c r="P74" s="52">
        <f t="shared" si="23"/>
        <v>0.2584886050440169</v>
      </c>
    </row>
    <row r="75" spans="1:16" ht="33" customHeight="1">
      <c r="A75" s="101"/>
      <c r="B75" s="102"/>
      <c r="C75" s="40" t="s">
        <v>66</v>
      </c>
      <c r="D75" s="33">
        <f>SUM(D76:D84)</f>
        <v>6895201.640000001</v>
      </c>
      <c r="E75" s="38">
        <f aca="true" t="shared" si="29" ref="E75:J75">SUM(E76:E84)</f>
        <v>24728720.570000004</v>
      </c>
      <c r="F75" s="38">
        <f t="shared" si="29"/>
        <v>8175753.049999999</v>
      </c>
      <c r="G75" s="38">
        <f t="shared" si="29"/>
        <v>1977723.8699999999</v>
      </c>
      <c r="H75" s="38">
        <f t="shared" si="29"/>
        <v>7814975.279999999</v>
      </c>
      <c r="I75" s="38">
        <f t="shared" si="29"/>
        <v>1738626.5799999998</v>
      </c>
      <c r="J75" s="38">
        <f t="shared" si="29"/>
        <v>919773.6399999988</v>
      </c>
      <c r="K75" s="41">
        <f t="shared" si="24"/>
        <v>-360777.76999999955</v>
      </c>
      <c r="L75" s="41">
        <f t="shared" si="25"/>
        <v>-16913745.290000007</v>
      </c>
      <c r="M75" s="41">
        <f t="shared" si="26"/>
        <v>-239097.29000000004</v>
      </c>
      <c r="N75" s="42">
        <f t="shared" si="21"/>
        <v>1.1333932911641433</v>
      </c>
      <c r="O75" s="42">
        <f t="shared" si="22"/>
        <v>0.9558722275741928</v>
      </c>
      <c r="P75" s="42">
        <f t="shared" si="23"/>
        <v>0.31602829017692274</v>
      </c>
    </row>
    <row r="76" spans="1:16" ht="31.5">
      <c r="A76" s="101"/>
      <c r="B76" s="102"/>
      <c r="C76" s="16" t="s">
        <v>67</v>
      </c>
      <c r="D76" s="3">
        <v>539943.4</v>
      </c>
      <c r="E76" s="16">
        <v>384548</v>
      </c>
      <c r="F76" s="70">
        <v>320133.9</v>
      </c>
      <c r="G76" s="70">
        <v>31556</v>
      </c>
      <c r="H76" s="81">
        <v>288577.9</v>
      </c>
      <c r="I76" s="81">
        <v>0</v>
      </c>
      <c r="J76" s="3">
        <f aca="true" t="shared" si="30" ref="J76:J82">H76-D76</f>
        <v>-251365.5</v>
      </c>
      <c r="K76" s="3">
        <f aca="true" t="shared" si="31" ref="K76:K82">H76-F76</f>
        <v>-31556</v>
      </c>
      <c r="L76" s="3">
        <f>H76-E76</f>
        <v>-95970.09999999998</v>
      </c>
      <c r="M76" s="3">
        <f>I76-G76</f>
        <v>-31556</v>
      </c>
      <c r="N76" s="36">
        <f t="shared" si="21"/>
        <v>0.5344595377959986</v>
      </c>
      <c r="O76" s="36">
        <f t="shared" si="22"/>
        <v>0.9014287459091337</v>
      </c>
      <c r="P76" s="36">
        <f t="shared" si="23"/>
        <v>0.7504340160396102</v>
      </c>
    </row>
    <row r="77" spans="1:16" ht="15.75">
      <c r="A77" s="101"/>
      <c r="B77" s="102"/>
      <c r="C77" s="17" t="s">
        <v>68</v>
      </c>
      <c r="D77" s="3">
        <v>806158.2999999999</v>
      </c>
      <c r="E77" s="69">
        <v>6580276.5</v>
      </c>
      <c r="F77" s="70">
        <v>1278952.9899999998</v>
      </c>
      <c r="G77" s="74">
        <v>243079.53000000003</v>
      </c>
      <c r="H77" s="81">
        <v>1278952.9899999998</v>
      </c>
      <c r="I77" s="81">
        <v>243079.53000000003</v>
      </c>
      <c r="J77" s="3">
        <f t="shared" si="30"/>
        <v>472794.6899999998</v>
      </c>
      <c r="K77" s="70">
        <f t="shared" si="31"/>
        <v>0</v>
      </c>
      <c r="L77" s="70">
        <f>H77-E77</f>
        <v>-5301323.51</v>
      </c>
      <c r="M77" s="70">
        <f>I77-G77</f>
        <v>0</v>
      </c>
      <c r="N77" s="36">
        <f t="shared" si="21"/>
        <v>1.5864787226032404</v>
      </c>
      <c r="O77" s="36">
        <f t="shared" si="22"/>
        <v>1</v>
      </c>
      <c r="P77" s="36">
        <f t="shared" si="23"/>
        <v>0.19436158799710007</v>
      </c>
    </row>
    <row r="78" spans="1:16" ht="15.75">
      <c r="A78" s="101"/>
      <c r="B78" s="102"/>
      <c r="C78" s="17" t="s">
        <v>69</v>
      </c>
      <c r="D78" s="3">
        <v>4451022.880000001</v>
      </c>
      <c r="E78" s="69">
        <v>12308977.3</v>
      </c>
      <c r="F78" s="70">
        <v>4529839.58</v>
      </c>
      <c r="G78" s="74">
        <v>1346715.15</v>
      </c>
      <c r="H78" s="81">
        <v>4529839.58</v>
      </c>
      <c r="I78" s="81">
        <v>1346715.15</v>
      </c>
      <c r="J78" s="3">
        <f t="shared" si="30"/>
        <v>78816.69999999925</v>
      </c>
      <c r="K78" s="70">
        <f t="shared" si="31"/>
        <v>0</v>
      </c>
      <c r="L78" s="70">
        <f t="shared" si="25"/>
        <v>-7779137.720000001</v>
      </c>
      <c r="M78" s="70">
        <f>I78-G78</f>
        <v>0</v>
      </c>
      <c r="N78" s="36">
        <f t="shared" si="21"/>
        <v>1.0177075477086739</v>
      </c>
      <c r="O78" s="36">
        <f t="shared" si="22"/>
        <v>1</v>
      </c>
      <c r="P78" s="36">
        <f t="shared" si="23"/>
        <v>0.3680110434520015</v>
      </c>
    </row>
    <row r="79" spans="1:16" ht="15.75">
      <c r="A79" s="101"/>
      <c r="B79" s="102"/>
      <c r="C79" s="9" t="s">
        <v>70</v>
      </c>
      <c r="D79" s="3">
        <v>1078395.06</v>
      </c>
      <c r="E79" s="69">
        <v>5446911.9</v>
      </c>
      <c r="F79" s="70">
        <v>2038431.8199999998</v>
      </c>
      <c r="G79" s="70">
        <v>356373.19</v>
      </c>
      <c r="H79" s="74">
        <v>1830872.1199999999</v>
      </c>
      <c r="I79" s="74">
        <v>148813.47999999998</v>
      </c>
      <c r="J79" s="3">
        <f t="shared" si="30"/>
        <v>752477.0599999998</v>
      </c>
      <c r="K79" s="70">
        <f t="shared" si="31"/>
        <v>-207559.69999999995</v>
      </c>
      <c r="L79" s="70">
        <f t="shared" si="25"/>
        <v>-3616039.7800000003</v>
      </c>
      <c r="M79" s="70">
        <f t="shared" si="26"/>
        <v>-207559.71000000002</v>
      </c>
      <c r="N79" s="36">
        <f t="shared" si="21"/>
        <v>1.6977749508607725</v>
      </c>
      <c r="O79" s="36">
        <f t="shared" si="22"/>
        <v>0.8981767759100229</v>
      </c>
      <c r="P79" s="36">
        <f t="shared" si="23"/>
        <v>0.3361302979767306</v>
      </c>
    </row>
    <row r="80" spans="1:16" ht="31.5">
      <c r="A80" s="101"/>
      <c r="B80" s="102"/>
      <c r="C80" s="9" t="s">
        <v>87</v>
      </c>
      <c r="D80" s="3">
        <v>4.06</v>
      </c>
      <c r="E80" s="70"/>
      <c r="F80" s="3">
        <v>387.89</v>
      </c>
      <c r="G80" s="3">
        <v>0</v>
      </c>
      <c r="H80" s="74">
        <v>387.89</v>
      </c>
      <c r="I80" s="74">
        <v>0</v>
      </c>
      <c r="J80" s="3">
        <f t="shared" si="30"/>
        <v>383.83</v>
      </c>
      <c r="K80" s="3">
        <f t="shared" si="31"/>
        <v>0</v>
      </c>
      <c r="L80" s="3">
        <f t="shared" si="25"/>
        <v>387.89</v>
      </c>
      <c r="M80" s="3">
        <f t="shared" si="26"/>
        <v>0</v>
      </c>
      <c r="N80" s="36">
        <f>_xlfn.IFERROR(H80/D80,"")</f>
        <v>95.53940886699507</v>
      </c>
      <c r="O80" s="36">
        <f t="shared" si="22"/>
        <v>1</v>
      </c>
      <c r="P80" s="36">
        <f t="shared" si="23"/>
      </c>
    </row>
    <row r="81" spans="1:16" ht="29.25" customHeight="1">
      <c r="A81" s="101"/>
      <c r="B81" s="102"/>
      <c r="C81" s="30" t="s">
        <v>71</v>
      </c>
      <c r="D81" s="3">
        <v>33813.61</v>
      </c>
      <c r="E81" s="70"/>
      <c r="F81" s="3"/>
      <c r="G81" s="3"/>
      <c r="H81" s="74">
        <v>0</v>
      </c>
      <c r="I81" s="74">
        <v>0</v>
      </c>
      <c r="J81" s="3">
        <f t="shared" si="30"/>
        <v>-33813.61</v>
      </c>
      <c r="K81" s="3">
        <f t="shared" si="31"/>
        <v>0</v>
      </c>
      <c r="L81" s="3">
        <f>H81-E81</f>
        <v>0</v>
      </c>
      <c r="M81" s="3">
        <f t="shared" si="26"/>
        <v>0</v>
      </c>
      <c r="N81" s="36">
        <f t="shared" si="21"/>
        <v>0</v>
      </c>
      <c r="O81" s="36">
        <f t="shared" si="22"/>
      </c>
      <c r="P81" s="36">
        <f t="shared" si="23"/>
      </c>
    </row>
    <row r="82" spans="1:16" s="32" customFormat="1" ht="70.5" customHeight="1">
      <c r="A82" s="101"/>
      <c r="B82" s="102"/>
      <c r="C82" s="30" t="s">
        <v>90</v>
      </c>
      <c r="D82" s="3"/>
      <c r="E82" s="3"/>
      <c r="F82" s="3"/>
      <c r="G82" s="3"/>
      <c r="H82" s="3">
        <v>23.29</v>
      </c>
      <c r="I82" s="3">
        <v>23.29</v>
      </c>
      <c r="J82" s="3">
        <f t="shared" si="30"/>
        <v>23.29</v>
      </c>
      <c r="K82" s="3">
        <f t="shared" si="31"/>
        <v>23.29</v>
      </c>
      <c r="L82" s="3">
        <f>H82-E82</f>
        <v>23.29</v>
      </c>
      <c r="M82" s="3">
        <f t="shared" si="26"/>
        <v>23.29</v>
      </c>
      <c r="N82" s="36">
        <f t="shared" si="21"/>
      </c>
      <c r="O82" s="36">
        <f t="shared" si="22"/>
      </c>
      <c r="P82" s="36">
        <f t="shared" si="23"/>
      </c>
    </row>
    <row r="83" spans="1:16" ht="31.5">
      <c r="A83" s="101"/>
      <c r="B83" s="102"/>
      <c r="C83" s="7" t="s">
        <v>72</v>
      </c>
      <c r="D83" s="3">
        <v>322693.82</v>
      </c>
      <c r="E83" s="71">
        <v>8006.87</v>
      </c>
      <c r="F83" s="5">
        <v>8006.87</v>
      </c>
      <c r="G83" s="5">
        <v>0</v>
      </c>
      <c r="H83" s="74">
        <v>159777.43000000002</v>
      </c>
      <c r="I83" s="74">
        <v>0</v>
      </c>
      <c r="J83" s="3">
        <f t="shared" si="20"/>
        <v>-162916.38999999998</v>
      </c>
      <c r="K83" s="3">
        <f t="shared" si="24"/>
        <v>151770.56000000003</v>
      </c>
      <c r="L83" s="3">
        <f t="shared" si="25"/>
        <v>151770.56000000003</v>
      </c>
      <c r="M83" s="3">
        <f t="shared" si="26"/>
        <v>0</v>
      </c>
      <c r="N83" s="36">
        <f t="shared" si="21"/>
        <v>0.49513631838378563</v>
      </c>
      <c r="O83" s="36">
        <f t="shared" si="22"/>
        <v>19.955042357375607</v>
      </c>
      <c r="P83" s="36">
        <f t="shared" si="23"/>
        <v>19.955042357375607</v>
      </c>
    </row>
    <row r="84" spans="1:16" ht="15.75">
      <c r="A84" s="101"/>
      <c r="B84" s="102"/>
      <c r="C84" s="7" t="s">
        <v>73</v>
      </c>
      <c r="D84" s="3">
        <v>-336829.48999999993</v>
      </c>
      <c r="E84" s="70"/>
      <c r="F84" s="3"/>
      <c r="G84" s="3"/>
      <c r="H84" s="74">
        <v>-273455.92</v>
      </c>
      <c r="I84" s="74">
        <v>-4.87</v>
      </c>
      <c r="J84" s="3">
        <f t="shared" si="20"/>
        <v>63373.56999999995</v>
      </c>
      <c r="K84" s="3">
        <f t="shared" si="24"/>
        <v>-273455.92</v>
      </c>
      <c r="L84" s="3">
        <f t="shared" si="25"/>
        <v>-273455.92</v>
      </c>
      <c r="M84" s="3">
        <f t="shared" si="26"/>
        <v>-4.87</v>
      </c>
      <c r="N84" s="36">
        <f t="shared" si="21"/>
        <v>0.8118526676509235</v>
      </c>
      <c r="O84" s="36">
        <f t="shared" si="22"/>
      </c>
      <c r="P84" s="36">
        <f t="shared" si="23"/>
      </c>
    </row>
    <row r="85" spans="1:16" ht="29.25" customHeight="1">
      <c r="A85" s="94" t="s">
        <v>74</v>
      </c>
      <c r="B85" s="94"/>
      <c r="C85" s="94"/>
      <c r="D85" s="65">
        <f aca="true" t="shared" si="32" ref="D85:K85">D73+D75</f>
        <v>14600121.01</v>
      </c>
      <c r="E85" s="72">
        <f t="shared" si="32"/>
        <v>50955716.50000001</v>
      </c>
      <c r="F85" s="51">
        <f t="shared" si="32"/>
        <v>17261330.46</v>
      </c>
      <c r="G85" s="51">
        <f t="shared" si="32"/>
        <v>5602105.17</v>
      </c>
      <c r="H85" s="51">
        <f t="shared" si="32"/>
        <v>15215401.530000001</v>
      </c>
      <c r="I85" s="51">
        <f t="shared" si="32"/>
        <v>2133320.9899999998</v>
      </c>
      <c r="J85" s="51">
        <f t="shared" si="32"/>
        <v>615280.5200000015</v>
      </c>
      <c r="K85" s="51">
        <f t="shared" si="32"/>
        <v>-2045928.9299999978</v>
      </c>
      <c r="L85" s="37">
        <f t="shared" si="25"/>
        <v>-35740314.970000006</v>
      </c>
      <c r="M85" s="37">
        <f t="shared" si="26"/>
        <v>-3468784.18</v>
      </c>
      <c r="N85" s="52">
        <f t="shared" si="21"/>
        <v>1.042142152080697</v>
      </c>
      <c r="O85" s="52">
        <f t="shared" si="22"/>
        <v>0.8814732772342742</v>
      </c>
      <c r="P85" s="52">
        <f t="shared" si="23"/>
        <v>0.29860048244047355</v>
      </c>
    </row>
    <row r="86" spans="1:16" ht="15.75" hidden="1">
      <c r="A86" s="95" t="s">
        <v>81</v>
      </c>
      <c r="B86" s="95"/>
      <c r="C86" s="95"/>
      <c r="D86" s="37">
        <v>6683833.650000001</v>
      </c>
      <c r="E86" s="37">
        <f>E85-E53-E52-E51</f>
        <v>46409815.29000001</v>
      </c>
      <c r="F86" s="37">
        <f>G86</f>
        <v>5242909.869999999</v>
      </c>
      <c r="G86" s="37">
        <f>G85-G53-G52-G51</f>
        <v>5242909.869999999</v>
      </c>
      <c r="H86" s="37">
        <f>H85-H53-H52-H51</f>
        <v>13420901.39</v>
      </c>
      <c r="I86" s="37">
        <f>I85-I53-I52-I51</f>
        <v>1868424.9699999997</v>
      </c>
      <c r="J86" s="37">
        <f t="shared" si="20"/>
        <v>6737067.739999999</v>
      </c>
      <c r="K86" s="37">
        <f t="shared" si="24"/>
        <v>8177991.520000001</v>
      </c>
      <c r="L86" s="37">
        <f t="shared" si="25"/>
        <v>-32988913.900000006</v>
      </c>
      <c r="M86" s="37">
        <f>H86-G86</f>
        <v>8177991.520000001</v>
      </c>
      <c r="N86" s="52">
        <f>H86/D86</f>
        <v>2.007964604265697</v>
      </c>
      <c r="O86" s="52">
        <f t="shared" si="22"/>
        <v>2.5598192078018696</v>
      </c>
      <c r="P86" s="36">
        <f t="shared" si="23"/>
        <v>0.28918239183106215</v>
      </c>
    </row>
    <row r="87" spans="1:16" ht="15.75">
      <c r="A87" s="18" t="s">
        <v>75</v>
      </c>
      <c r="B87" s="19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2"/>
      <c r="O87" s="23"/>
      <c r="P87" s="22"/>
    </row>
    <row r="88" ht="12.75">
      <c r="D88" s="53"/>
    </row>
  </sheetData>
  <sheetProtection/>
  <autoFilter ref="A4:P88"/>
  <mergeCells count="39">
    <mergeCell ref="H3:I3"/>
    <mergeCell ref="J3:M3"/>
    <mergeCell ref="N3:N4"/>
    <mergeCell ref="A23:A26"/>
    <mergeCell ref="B23:B26"/>
    <mergeCell ref="A6:A17"/>
    <mergeCell ref="A22:B22"/>
    <mergeCell ref="A50:A55"/>
    <mergeCell ref="B50:B55"/>
    <mergeCell ref="A56:A59"/>
    <mergeCell ref="B56:B59"/>
    <mergeCell ref="A27:A29"/>
    <mergeCell ref="B27:B29"/>
    <mergeCell ref="A60:A61"/>
    <mergeCell ref="B60:B61"/>
    <mergeCell ref="A30:A37"/>
    <mergeCell ref="B30:B37"/>
    <mergeCell ref="A38:A47"/>
    <mergeCell ref="B38:B47"/>
    <mergeCell ref="A48:A49"/>
    <mergeCell ref="B48:B49"/>
    <mergeCell ref="A1:P1"/>
    <mergeCell ref="A3:A4"/>
    <mergeCell ref="B3:B4"/>
    <mergeCell ref="C3:C4"/>
    <mergeCell ref="D3:D4"/>
    <mergeCell ref="E3:G3"/>
    <mergeCell ref="O3:O4"/>
    <mergeCell ref="P3:P4"/>
    <mergeCell ref="B62:B63"/>
    <mergeCell ref="A62:A63"/>
    <mergeCell ref="A85:C85"/>
    <mergeCell ref="A86:C86"/>
    <mergeCell ref="A64:A72"/>
    <mergeCell ref="B64:B72"/>
    <mergeCell ref="A73:C73"/>
    <mergeCell ref="A74:C74"/>
    <mergeCell ref="A75:A84"/>
    <mergeCell ref="B75:B84"/>
  </mergeCells>
  <printOptions/>
  <pageMargins left="0" right="0" top="0" bottom="0" header="0.31496062992125984" footer="0.31496062992125984"/>
  <pageSetup fitToHeight="0" fitToWidth="1" horizontalDpi="600" verticalDpi="600" orientation="landscape" paperSize="9" scale="56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2023-05-19T11:44:08Z</cp:lastPrinted>
  <dcterms:created xsi:type="dcterms:W3CDTF">2015-02-26T11:08:47Z</dcterms:created>
  <dcterms:modified xsi:type="dcterms:W3CDTF">2023-05-22T12:47:00Z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