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01.06.2023" sheetId="1" r:id="rId1"/>
  </sheets>
  <definedNames>
    <definedName name="_xlfn.IFERROR" hidden="1">#NAME?</definedName>
    <definedName name="_xlnm._FilterDatabase" localSheetId="0" hidden="1">'01.06.2023'!$A$4:$P$90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'01.06.2023'!$3:$4</definedName>
    <definedName name="о">#REF!</definedName>
    <definedName name="_xlnm.Print_Area" localSheetId="0">'01.06.2023'!$A$1:$P$89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<sst xmlns="http://schemas.openxmlformats.org/spreadsheetml/2006/main" count="143" uniqueCount="112">
  <si>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</si>
  <si>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</si>
  <si>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</si>
  <si>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</si>
  <si>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</si>
  <si>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</si>
  <si>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</si>
  <si>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</si>
  <si>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</si>
  <si>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</si>
  <si>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</si>
  <si>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</si>
  <si>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</si>
  <si>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</si>
  <si>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</si>
  <si>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</si>
  <si>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</si>
  <si>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</si>
  <si>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</si>
  <si>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</si>
  <si>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</si>
  <si>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</si>
  <si>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</si>
  <si>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</si>
  <si>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</si>
  <si>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</si>
  <si>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</si>
  <si>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</si>
  <si>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</si>
  <si>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</si>
  <si>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</si>
  <si>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</si>
  <si>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</si>
  <si>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</si>
  <si>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</si>
  <si>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</si>
  <si>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</si>
  <si>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</si>
  <si>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</si>
  <si>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</si>
  <si>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</si>
  <si>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</si>
  <si>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</si>
  <si>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</si>
  <si>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</si>
  <si>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находящихся в собственности городских округов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</si>
  <si>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</si>
  <si>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</si>
  <si>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</si>
  <si>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</si>
  <si>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</si>
  <si>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</si>
  <si>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</si>
  <si>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</si>
  <si>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</si>
  <si>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</si>
  <si>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</si>
  <si>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</si>
  <si>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</si>
  <si>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903</t>
  </si>
  <si>
    <t>ДГА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</si>
  <si>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</si>
  <si>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</si>
  <si>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</si>
  <si>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</si>
  <si>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</si>
  <si>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</si>
  <si>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</si>
  <si>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</si>
  <si>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</si>
  <si>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</si>
  <si>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</si>
  <si>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</si>
  <si>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</si>
  <si>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</si>
  <si>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</si>
  <si>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</si>
  <si>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</si>
  <si>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</si>
  <si>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</si>
  <si>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</si>
  <si>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</si>
  <si>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</si>
  <si>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</si>
  <si>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</si>
  <si>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</si>
  <si>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</si>
  <si>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</si>
  <si>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</si>
  <si>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</si>
  <si>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</si>
  <si>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</si>
  <si>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</si>
  <si>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</si>
  <si>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</si>
  <si>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</si>
  <si>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</si>
  <si>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</si>
  <si>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</si>
  <si>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</si>
  <si>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</si>
  <si>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</si>
  <si>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</si>
  <si>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</si>
  <si>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январь-май</t>
  </si>
  <si>
    <t>май</t>
  </si>
  <si>
    <t>факта за май от плана мая</t>
  </si>
  <si>
    <t>Факт с нач. 2022 года      (по 01.06.22 вкл.)</t>
  </si>
  <si>
    <t>Плата за фактическое пользование</t>
  </si>
  <si>
    <t>с нач. года на 01.06.2023 (по 31.05.2023 вкл.)</t>
  </si>
  <si>
    <t>год</t>
  </si>
  <si>
    <t xml:space="preserve">ПЛАН на 2023 год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</si>
</sst>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  <numFmt numFmtId="168" formatCode="0.0"/>
  </numFmts>
  <fonts count="51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color indexed="45"/>
      <name val="Arial Cyr"/>
      <family val="0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2"/>
      <color indexed="5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4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167" fontId="4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/>
    </xf>
    <xf numFmtId="165" fontId="4" fillId="0" borderId="11" xfId="0" applyNumberFormat="1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11" xfId="0" applyFont="1" applyFill="1" applyBorder="1" applyAlignment="1">
      <alignment horizontal="left" wrapText="1"/>
    </xf>
    <xf numFmtId="166" fontId="47" fillId="0" borderId="11" xfId="0" applyNumberFormat="1" applyFont="1" applyFill="1" applyBorder="1" applyAlignment="1">
      <alignment wrapText="1"/>
    </xf>
    <xf numFmtId="166" fontId="47" fillId="0" borderId="11" xfId="0" applyNumberFormat="1" applyFont="1" applyFill="1" applyBorder="1" applyAlignment="1">
      <alignment wrapText="1"/>
    </xf>
    <xf numFmtId="166" fontId="48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vertical="center" wrapText="1"/>
    </xf>
    <xf numFmtId="164" fontId="6" fillId="33" borderId="11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vertical="center" wrapText="1"/>
    </xf>
    <xf numFmtId="164" fontId="4" fillId="33" borderId="11" xfId="0" applyNumberFormat="1" applyFont="1" applyFill="1" applyBorder="1" applyAlignment="1">
      <alignment vertical="center" wrapText="1"/>
    </xf>
    <xf numFmtId="164" fontId="6" fillId="33" borderId="11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right" wrapText="1"/>
    </xf>
    <xf numFmtId="0" fontId="47" fillId="0" borderId="11" xfId="0" applyFont="1" applyFill="1" applyBorder="1" applyAlignment="1">
      <alignment horizontal="left" vertical="top" wrapText="1"/>
    </xf>
    <xf numFmtId="164" fontId="47" fillId="0" borderId="11" xfId="0" applyNumberFormat="1" applyFont="1" applyFill="1" applyBorder="1" applyAlignment="1">
      <alignment wrapText="1"/>
    </xf>
    <xf numFmtId="164" fontId="47" fillId="0" borderId="11" xfId="0" applyNumberFormat="1" applyFont="1" applyFill="1" applyBorder="1" applyAlignment="1">
      <alignment wrapText="1"/>
    </xf>
    <xf numFmtId="164" fontId="47" fillId="0" borderId="11" xfId="0" applyNumberFormat="1" applyFont="1" applyFill="1" applyBorder="1" applyAlignment="1">
      <alignment wrapText="1"/>
    </xf>
    <xf numFmtId="165" fontId="47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6" fontId="49" fillId="0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8" fontId="5" fillId="33" borderId="12" xfId="0" applyNumberFormat="1" applyFont="1" applyFill="1" applyBorder="1" applyAlignment="1">
      <alignment horizont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wrapText="1"/>
    </xf>
    <xf numFmtId="168" fontId="6" fillId="33" borderId="11" xfId="0" applyNumberFormat="1" applyFont="1" applyFill="1" applyBorder="1" applyAlignment="1">
      <alignment wrapText="1"/>
    </xf>
    <xf numFmtId="168" fontId="3" fillId="33" borderId="11" xfId="0" applyNumberFormat="1" applyFont="1" applyFill="1" applyBorder="1" applyAlignment="1">
      <alignment horizontal="right" wrapText="1"/>
    </xf>
    <xf numFmtId="168" fontId="6" fillId="33" borderId="11" xfId="0" applyNumberFormat="1" applyFont="1" applyFill="1" applyBorder="1" applyAlignment="1">
      <alignment horizontal="right" wrapText="1"/>
    </xf>
    <xf numFmtId="168" fontId="6" fillId="33" borderId="11" xfId="0" applyNumberFormat="1" applyFont="1" applyFill="1" applyBorder="1" applyAlignment="1">
      <alignment wrapText="1"/>
    </xf>
    <xf numFmtId="168" fontId="4" fillId="33" borderId="11" xfId="0" applyNumberFormat="1" applyFont="1" applyFill="1" applyBorder="1" applyAlignment="1">
      <alignment wrapText="1"/>
    </xf>
    <xf numFmtId="168" fontId="0" fillId="33" borderId="0" xfId="0" applyNumberFormat="1" applyFont="1" applyFill="1" applyAlignment="1">
      <alignment/>
    </xf>
    <xf numFmtId="164" fontId="4" fillId="33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 applyAlignment="1">
      <alignment wrapText="1"/>
    </xf>
    <xf numFmtId="165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horizontal="right" wrapText="1"/>
    </xf>
    <xf numFmtId="164" fontId="6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5" fontId="3" fillId="33" borderId="11" xfId="0" applyNumberFormat="1" applyFont="1" applyFill="1" applyBorder="1" applyAlignment="1">
      <alignment wrapText="1"/>
    </xf>
    <xf numFmtId="165" fontId="6" fillId="33" borderId="11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wrapText="1"/>
    </xf>
    <xf numFmtId="165" fontId="4" fillId="33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168" fontId="4" fillId="33" borderId="13" xfId="0" applyNumberFormat="1" applyFont="1" applyFill="1" applyBorder="1" applyAlignment="1">
      <alignment horizontal="center" vertical="center" wrapText="1"/>
    </xf>
    <xf numFmtId="168" fontId="4" fillId="33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9" fontId="4" fillId="0" borderId="11" xfId="144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wrapText="1"/>
    </xf>
    <xf numFmtId="166" fontId="50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33" borderId="11" xfId="0" applyNumberFormat="1" applyFont="1" applyFill="1" applyBorder="1" applyAlignment="1">
      <alignment horizontal="left" vertical="center" wrapText="1"/>
    </xf>
    <xf numFmtId="166" fontId="50" fillId="0" borderId="13" xfId="0" applyNumberFormat="1" applyFont="1" applyFill="1" applyBorder="1" applyAlignment="1">
      <alignment horizontal="left" vertical="center" wrapText="1"/>
    </xf>
    <xf numFmtId="166" fontId="50" fillId="0" borderId="15" xfId="0" applyNumberFormat="1" applyFont="1" applyFill="1" applyBorder="1" applyAlignment="1">
      <alignment horizontal="left" vertical="center" wrapText="1"/>
    </xf>
    <xf numFmtId="166" fontId="50" fillId="0" borderId="14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13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9" xfId="139"/>
    <cellStyle name="Плохой" xfId="140"/>
    <cellStyle name="Пояснение" xfId="141"/>
    <cellStyle name="Примечание" xfId="142"/>
    <cellStyle name="Percent" xfId="143"/>
    <cellStyle name="Процентный 2" xfId="144"/>
    <cellStyle name="Процентный 2 2" xfId="145"/>
    <cellStyle name="Связанная ячейка" xfId="146"/>
    <cellStyle name="Текст предупреждения" xfId="147"/>
    <cellStyle name="Comma" xfId="148"/>
    <cellStyle name="Comma [0]" xfId="149"/>
    <cellStyle name="Финансовый 2" xfId="150"/>
    <cellStyle name="Финансовый 3" xfId="151"/>
    <cellStyle name="Хороший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tabSelected="1" zoomScale="89" zoomScaleNormal="89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45" sqref="A45:IV45"/>
    </sheetView>
  </sheetViews>
  <sheetFormatPr defaultColWidth="9.00390625" defaultRowHeight="12.75"/>
  <cols>
    <col min="1" max="2" width="9.125" style="60" customWidth="1"/>
    <col min="3" max="3" width="67.625" style="60" customWidth="1"/>
    <col min="4" max="4" width="14.625" style="24" customWidth="1"/>
    <col min="5" max="5" width="15.625" style="60" customWidth="1"/>
    <col min="6" max="7" width="13.00390625" style="60" customWidth="1"/>
    <col min="8" max="8" width="16.25390625" style="120" customWidth="1"/>
    <col min="9" max="9" width="13.875" style="120" customWidth="1"/>
    <col min="10" max="10" width="15.125" style="60" customWidth="1"/>
    <col min="11" max="11" width="14.375" style="60" customWidth="1"/>
    <col min="12" max="12" width="15.625" style="60" customWidth="1"/>
    <col min="13" max="13" width="13.75390625" style="60" customWidth="1"/>
    <col min="14" max="14" width="13.125" style="60" customWidth="1"/>
    <col min="15" max="15" width="10.125" style="60" customWidth="1"/>
    <col min="16" max="16" width="12.00390625" style="60" customWidth="1"/>
    <col min="17" max="17" width="9.125" style="60" customWidth="1"/>
    <col min="18" max="18" width="16.625" style="60" customWidth="1"/>
    <col min="19" max="19" width="9.125" style="60" customWidth="1"/>
    <col min="20" max="20" width="15.75390625" style="60" customWidth="1"/>
    <col min="21" max="16384" width="9.125" style="60" customWidth="1"/>
  </cols>
  <sheetData>
    <row r="1" spans="1:16" ht="20.25" customHeight="1">
      <c r="A1" s="162" t="s">
        <v>90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20.25" customHeight="1">
      <c r="A2" s="30"/>
      <c r="B2" s="31"/>
      <c r="C2" s="28"/>
      <c r="D2" s="27"/>
      <c r="E2" s="28"/>
      <c r="F2" s="28"/>
      <c r="G2" s="33"/>
      <c r="H2" s="111"/>
      <c r="I2" s="111"/>
      <c r="J2" s="28"/>
      <c r="K2" s="28"/>
      <c r="L2" s="28"/>
      <c r="M2" s="28"/>
      <c r="N2" s="28"/>
      <c r="O2" s="26"/>
      <c r="P2" s="26" t="s">
        <v>0</v>
      </c>
    </row>
    <row r="3" spans="1:16" ht="36.75" customHeight="1">
      <c r="A3" s="163" t="s">
        <v>1</v>
      </c>
      <c r="B3" s="164" t="s">
        <v>2</v>
      </c>
      <c r="C3" s="165" t="s">
        <v>3</v>
      </c>
      <c r="D3" s="167" t="s">
        <v>107</v>
      </c>
      <c r="E3" s="169" t="s">
        <v>111</v>
      </c>
      <c r="F3" s="170"/>
      <c r="G3" s="171"/>
      <c r="H3" s="136" t="s">
        <v>91</v>
      </c>
      <c r="I3" s="137"/>
      <c r="J3" s="138" t="s">
        <v>4</v>
      </c>
      <c r="K3" s="139"/>
      <c r="L3" s="139"/>
      <c r="M3" s="140"/>
      <c r="N3" s="141" t="s">
        <v>103</v>
      </c>
      <c r="O3" s="172" t="s">
        <v>101</v>
      </c>
      <c r="P3" s="141" t="s">
        <v>102</v>
      </c>
    </row>
    <row r="4" spans="1:16" ht="63">
      <c r="A4" s="163"/>
      <c r="B4" s="164"/>
      <c r="C4" s="166"/>
      <c r="D4" s="168"/>
      <c r="E4" s="1" t="s">
        <v>110</v>
      </c>
      <c r="F4" s="1" t="s">
        <v>104</v>
      </c>
      <c r="G4" s="1" t="s">
        <v>105</v>
      </c>
      <c r="H4" s="112" t="s">
        <v>109</v>
      </c>
      <c r="I4" s="113" t="s">
        <v>105</v>
      </c>
      <c r="J4" s="1" t="s">
        <v>92</v>
      </c>
      <c r="K4" s="1" t="s">
        <v>5</v>
      </c>
      <c r="L4" s="1" t="s">
        <v>93</v>
      </c>
      <c r="M4" s="1" t="s">
        <v>106</v>
      </c>
      <c r="N4" s="141"/>
      <c r="O4" s="172"/>
      <c r="P4" s="141"/>
    </row>
    <row r="5" spans="1:18" ht="29.25" customHeight="1">
      <c r="A5" s="84"/>
      <c r="B5" s="85"/>
      <c r="C5" s="86" t="s">
        <v>6</v>
      </c>
      <c r="D5" s="94">
        <f>D17+D19+D21+D18+D20</f>
        <v>5728928.76</v>
      </c>
      <c r="E5" s="92">
        <f>E17+E19+E21+E18+E20</f>
        <v>20002935.000000004</v>
      </c>
      <c r="F5" s="92">
        <f>F17+F19+F21+F18+F20</f>
        <v>6602253.000000001</v>
      </c>
      <c r="G5" s="92">
        <f>G17+G19+G21+G18+G20</f>
        <v>3159947.1</v>
      </c>
      <c r="H5" s="92">
        <f>H17+H19+H21+H18+H20</f>
        <v>5889472.99</v>
      </c>
      <c r="I5" s="92">
        <f>I17+I19+I21+I18+I20</f>
        <v>1198295.9600000002</v>
      </c>
      <c r="J5" s="87">
        <f>H5-D5</f>
        <v>160544.23000000045</v>
      </c>
      <c r="K5" s="87">
        <f>H5-F5</f>
        <v>-712780.0100000007</v>
      </c>
      <c r="L5" s="87">
        <f>H5-E5</f>
        <v>-14113462.010000004</v>
      </c>
      <c r="M5" s="87">
        <f>I5-G5</f>
        <v>-1961651.14</v>
      </c>
      <c r="N5" s="48">
        <f aca="true" t="shared" si="0" ref="N5:N48">_xlfn.IFERROR(H5/D5,"")</f>
        <v>1.0280234292876773</v>
      </c>
      <c r="O5" s="48">
        <f aca="true" t="shared" si="1" ref="O5:O36">_xlfn.IFERROR(H5/F5,"")</f>
        <v>0.8920398824461891</v>
      </c>
      <c r="P5" s="48">
        <f aca="true" t="shared" si="2" ref="P5:P36">_xlfn.IFERROR(H5/E5,"")</f>
        <v>0.29443044183266104</v>
      </c>
      <c r="R5" s="71"/>
    </row>
    <row r="6" spans="1:21" ht="15.75">
      <c r="A6" s="148" t="s">
        <v>10</v>
      </c>
      <c r="B6" s="67" t="s">
        <v>11</v>
      </c>
      <c r="C6" s="4" t="s">
        <v>12</v>
      </c>
      <c r="D6" s="35">
        <v>4196727.51</v>
      </c>
      <c r="E6" s="5">
        <f>14235121.9+613644.6</f>
        <v>14848766.5</v>
      </c>
      <c r="F6" s="5">
        <v>4685795.100000001</v>
      </c>
      <c r="G6" s="5">
        <v>2241093.9</v>
      </c>
      <c r="H6" s="5">
        <v>4210633.47</v>
      </c>
      <c r="I6" s="5">
        <v>1065411.56</v>
      </c>
      <c r="J6" s="5">
        <f aca="true" t="shared" si="3" ref="J6:J62">H6-D6</f>
        <v>13905.959999999963</v>
      </c>
      <c r="K6" s="5">
        <f aca="true" t="shared" si="4" ref="K6:K71">H6-F6</f>
        <v>-475161.6300000008</v>
      </c>
      <c r="L6" s="5">
        <f aca="true" t="shared" si="5" ref="L6:L71">H6-E6</f>
        <v>-10638133.030000001</v>
      </c>
      <c r="M6" s="5">
        <f>I6-G6</f>
        <v>-1175682.3399999999</v>
      </c>
      <c r="N6" s="41">
        <f t="shared" si="0"/>
        <v>1.0033135246372</v>
      </c>
      <c r="O6" s="41">
        <f t="shared" si="1"/>
        <v>0.8985953034950246</v>
      </c>
      <c r="P6" s="41">
        <f t="shared" si="2"/>
        <v>0.2835678956901908</v>
      </c>
      <c r="U6" s="71"/>
    </row>
    <row r="7" spans="1:21" ht="15.75">
      <c r="A7" s="143"/>
      <c r="B7" s="67" t="s">
        <v>7</v>
      </c>
      <c r="C7" s="2" t="s">
        <v>8</v>
      </c>
      <c r="D7" s="34">
        <v>29082.93</v>
      </c>
      <c r="E7" s="3">
        <v>80057.5</v>
      </c>
      <c r="F7" s="3">
        <v>30890</v>
      </c>
      <c r="G7" s="3">
        <v>8320</v>
      </c>
      <c r="H7" s="5">
        <v>30941.23</v>
      </c>
      <c r="I7" s="5">
        <v>6229.03</v>
      </c>
      <c r="J7" s="3">
        <f>H7-D7</f>
        <v>1858.2999999999993</v>
      </c>
      <c r="K7" s="3">
        <f>H7-F7</f>
        <v>51.22999999999956</v>
      </c>
      <c r="L7" s="3">
        <f>H7-E7</f>
        <v>-49116.270000000004</v>
      </c>
      <c r="M7" s="3">
        <f>I7-G7</f>
        <v>-2090.9700000000003</v>
      </c>
      <c r="N7" s="41">
        <f t="shared" si="0"/>
        <v>1.0638965881360647</v>
      </c>
      <c r="O7" s="41">
        <f t="shared" si="1"/>
        <v>1.001658465522823</v>
      </c>
      <c r="P7" s="41">
        <f t="shared" si="2"/>
        <v>0.3864875870468101</v>
      </c>
      <c r="U7" s="71"/>
    </row>
    <row r="8" spans="1:21" ht="15.75">
      <c r="A8" s="143"/>
      <c r="B8" s="67" t="s">
        <v>11</v>
      </c>
      <c r="C8" s="36" t="s">
        <v>94</v>
      </c>
      <c r="D8" s="35"/>
      <c r="E8" s="35">
        <v>1204375.9</v>
      </c>
      <c r="F8" s="35">
        <v>648721.5</v>
      </c>
      <c r="G8" s="35">
        <v>429755.2</v>
      </c>
      <c r="H8" s="5">
        <v>525347.3099999998</v>
      </c>
      <c r="I8" s="5">
        <v>60852.69</v>
      </c>
      <c r="J8" s="5">
        <f>H8-D8</f>
        <v>525347.3099999998</v>
      </c>
      <c r="K8" s="5">
        <f>H8-F8</f>
        <v>-123374.19000000018</v>
      </c>
      <c r="L8" s="5">
        <f>H8-E8</f>
        <v>-679028.5900000001</v>
      </c>
      <c r="M8" s="5">
        <f aca="true" t="shared" si="6" ref="M8:M71">I8-G8</f>
        <v>-368902.51</v>
      </c>
      <c r="N8" s="41">
        <f t="shared" si="0"/>
      </c>
      <c r="O8" s="41">
        <f t="shared" si="1"/>
        <v>0.8098194833992705</v>
      </c>
      <c r="P8" s="41">
        <f t="shared" si="2"/>
        <v>0.4361987897632291</v>
      </c>
      <c r="U8" s="71"/>
    </row>
    <row r="9" spans="1:21" ht="15.75">
      <c r="A9" s="143"/>
      <c r="B9" s="67" t="s">
        <v>11</v>
      </c>
      <c r="C9" s="4" t="s">
        <v>13</v>
      </c>
      <c r="D9" s="35">
        <v>1479.1099999999997</v>
      </c>
      <c r="E9" s="5"/>
      <c r="F9" s="5"/>
      <c r="G9" s="5"/>
      <c r="H9" s="5">
        <v>-3374.2200000000003</v>
      </c>
      <c r="I9" s="5">
        <v>142.5</v>
      </c>
      <c r="J9" s="5">
        <f t="shared" si="3"/>
        <v>-4853.33</v>
      </c>
      <c r="K9" s="5">
        <f>H9-F9</f>
        <v>-3374.2200000000003</v>
      </c>
      <c r="L9" s="5">
        <f t="shared" si="5"/>
        <v>-3374.2200000000003</v>
      </c>
      <c r="M9" s="5">
        <f t="shared" si="6"/>
        <v>142.5</v>
      </c>
      <c r="N9" s="41">
        <f t="shared" si="0"/>
        <v>-2.2812502112757</v>
      </c>
      <c r="O9" s="41">
        <f t="shared" si="1"/>
      </c>
      <c r="P9" s="41">
        <f t="shared" si="2"/>
      </c>
      <c r="U9" s="71"/>
    </row>
    <row r="10" spans="1:21" ht="15.75">
      <c r="A10" s="143"/>
      <c r="B10" s="67" t="s">
        <v>11</v>
      </c>
      <c r="C10" s="4" t="s">
        <v>14</v>
      </c>
      <c r="D10" s="35">
        <v>2166.04</v>
      </c>
      <c r="E10" s="5">
        <v>4690.3</v>
      </c>
      <c r="F10" s="5">
        <v>2720.4</v>
      </c>
      <c r="G10" s="5">
        <v>0</v>
      </c>
      <c r="H10" s="5">
        <v>-1454.64</v>
      </c>
      <c r="I10" s="5">
        <v>0.33</v>
      </c>
      <c r="J10" s="5">
        <f t="shared" si="3"/>
        <v>-3620.6800000000003</v>
      </c>
      <c r="K10" s="5">
        <f t="shared" si="4"/>
        <v>-4175.04</v>
      </c>
      <c r="L10" s="5">
        <f t="shared" si="5"/>
        <v>-6144.9400000000005</v>
      </c>
      <c r="M10" s="5">
        <f t="shared" si="6"/>
        <v>0.33</v>
      </c>
      <c r="N10" s="41">
        <f t="shared" si="0"/>
        <v>-0.6715665454008237</v>
      </c>
      <c r="O10" s="41">
        <f t="shared" si="1"/>
        <v>-0.5347154830172034</v>
      </c>
      <c r="P10" s="41">
        <f t="shared" si="2"/>
        <v>-0.31013794426795727</v>
      </c>
      <c r="U10" s="71"/>
    </row>
    <row r="11" spans="1:21" ht="15.75">
      <c r="A11" s="143"/>
      <c r="B11" s="67" t="s">
        <v>11</v>
      </c>
      <c r="C11" s="4" t="s">
        <v>96</v>
      </c>
      <c r="D11" s="35">
        <v>109396.5</v>
      </c>
      <c r="E11" s="5">
        <v>314766.5</v>
      </c>
      <c r="F11" s="5">
        <v>125074</v>
      </c>
      <c r="G11" s="5">
        <v>6858</v>
      </c>
      <c r="H11" s="5">
        <v>98526.81000000001</v>
      </c>
      <c r="I11" s="5">
        <v>7572.52</v>
      </c>
      <c r="J11" s="5">
        <f t="shared" si="3"/>
        <v>-10869.689999999988</v>
      </c>
      <c r="K11" s="5">
        <f t="shared" si="4"/>
        <v>-26547.189999999988</v>
      </c>
      <c r="L11" s="5">
        <f t="shared" si="5"/>
        <v>-216239.69</v>
      </c>
      <c r="M11" s="5">
        <f t="shared" si="6"/>
        <v>714.5200000000004</v>
      </c>
      <c r="N11" s="41">
        <f t="shared" si="0"/>
        <v>0.9006395085765999</v>
      </c>
      <c r="O11" s="41">
        <f t="shared" si="1"/>
        <v>0.7877481331052019</v>
      </c>
      <c r="P11" s="41">
        <f t="shared" si="2"/>
        <v>0.3130155527986619</v>
      </c>
      <c r="U11" s="71"/>
    </row>
    <row r="12" spans="1:21" ht="15.75">
      <c r="A12" s="143"/>
      <c r="B12" s="67" t="s">
        <v>15</v>
      </c>
      <c r="C12" s="4" t="s">
        <v>16</v>
      </c>
      <c r="D12" s="35">
        <v>48763.78</v>
      </c>
      <c r="E12" s="5">
        <v>1083466.2</v>
      </c>
      <c r="F12" s="5">
        <v>59600</v>
      </c>
      <c r="G12" s="5">
        <v>5400</v>
      </c>
      <c r="H12" s="5">
        <v>29114.350000000002</v>
      </c>
      <c r="I12" s="5">
        <v>6208.91</v>
      </c>
      <c r="J12" s="5">
        <f t="shared" si="3"/>
        <v>-19649.429999999997</v>
      </c>
      <c r="K12" s="5">
        <f t="shared" si="4"/>
        <v>-30485.649999999998</v>
      </c>
      <c r="L12" s="5">
        <f t="shared" si="5"/>
        <v>-1054351.8499999999</v>
      </c>
      <c r="M12" s="5">
        <f t="shared" si="6"/>
        <v>808.9099999999999</v>
      </c>
      <c r="N12" s="41">
        <f t="shared" si="0"/>
        <v>0.5970486701400097</v>
      </c>
      <c r="O12" s="41">
        <f t="shared" si="1"/>
        <v>0.48849580536912757</v>
      </c>
      <c r="P12" s="41">
        <f t="shared" si="2"/>
        <v>0.026871488930619157</v>
      </c>
      <c r="U12" s="71"/>
    </row>
    <row r="13" spans="1:21" ht="15.75">
      <c r="A13" s="143"/>
      <c r="B13" s="67" t="s">
        <v>79</v>
      </c>
      <c r="C13" s="4" t="s">
        <v>99</v>
      </c>
      <c r="D13" s="35">
        <v>300946.67000000004</v>
      </c>
      <c r="E13" s="5"/>
      <c r="F13" s="5"/>
      <c r="G13" s="5"/>
      <c r="H13" s="5">
        <v>0</v>
      </c>
      <c r="I13" s="5">
        <v>0</v>
      </c>
      <c r="J13" s="5">
        <f t="shared" si="3"/>
        <v>-300946.67000000004</v>
      </c>
      <c r="K13" s="5">
        <f t="shared" si="4"/>
        <v>0</v>
      </c>
      <c r="L13" s="5">
        <f t="shared" si="5"/>
        <v>0</v>
      </c>
      <c r="M13" s="5">
        <f t="shared" si="6"/>
        <v>0</v>
      </c>
      <c r="N13" s="41">
        <f t="shared" si="0"/>
        <v>0</v>
      </c>
      <c r="O13" s="41">
        <f t="shared" si="1"/>
      </c>
      <c r="P13" s="41">
        <f t="shared" si="2"/>
      </c>
      <c r="U13" s="71"/>
    </row>
    <row r="14" spans="1:21" ht="15.75">
      <c r="A14" s="143"/>
      <c r="B14" s="67" t="s">
        <v>15</v>
      </c>
      <c r="C14" s="4" t="s">
        <v>17</v>
      </c>
      <c r="D14" s="35">
        <v>954072.7899999999</v>
      </c>
      <c r="E14" s="5">
        <v>2237196.9</v>
      </c>
      <c r="F14" s="5">
        <v>960800</v>
      </c>
      <c r="G14" s="5">
        <v>451700</v>
      </c>
      <c r="H14" s="5">
        <v>921850.14</v>
      </c>
      <c r="I14" s="5">
        <v>34473.46</v>
      </c>
      <c r="J14" s="5">
        <f t="shared" si="3"/>
        <v>-32222.649999999907</v>
      </c>
      <c r="K14" s="5">
        <f t="shared" si="4"/>
        <v>-38949.859999999986</v>
      </c>
      <c r="L14" s="5">
        <f t="shared" si="5"/>
        <v>-1315346.7599999998</v>
      </c>
      <c r="M14" s="5">
        <f t="shared" si="6"/>
        <v>-417226.54</v>
      </c>
      <c r="N14" s="41">
        <f t="shared" si="0"/>
        <v>0.9662262142493343</v>
      </c>
      <c r="O14" s="41">
        <f t="shared" si="1"/>
        <v>0.9594610116569525</v>
      </c>
      <c r="P14" s="41">
        <f t="shared" si="2"/>
        <v>0.4120558811788091</v>
      </c>
      <c r="U14" s="71"/>
    </row>
    <row r="15" spans="1:21" ht="15.75">
      <c r="A15" s="143"/>
      <c r="B15" s="67" t="s">
        <v>18</v>
      </c>
      <c r="C15" s="4" t="s">
        <v>19</v>
      </c>
      <c r="D15" s="35">
        <v>85711.37</v>
      </c>
      <c r="E15" s="5">
        <v>228385.6</v>
      </c>
      <c r="F15" s="5">
        <v>88145</v>
      </c>
      <c r="G15" s="5">
        <v>16690</v>
      </c>
      <c r="H15" s="5">
        <v>77782.24</v>
      </c>
      <c r="I15" s="5">
        <v>17382.36</v>
      </c>
      <c r="J15" s="5">
        <f t="shared" si="3"/>
        <v>-7929.12999999999</v>
      </c>
      <c r="K15" s="5">
        <f t="shared" si="4"/>
        <v>-10362.759999999995</v>
      </c>
      <c r="L15" s="5">
        <f t="shared" si="5"/>
        <v>-150603.36</v>
      </c>
      <c r="M15" s="5">
        <f t="shared" si="6"/>
        <v>692.3600000000006</v>
      </c>
      <c r="N15" s="41">
        <f t="shared" si="0"/>
        <v>0.9074903364629454</v>
      </c>
      <c r="O15" s="41">
        <f t="shared" si="1"/>
        <v>0.8824350785637303</v>
      </c>
      <c r="P15" s="41">
        <f t="shared" si="2"/>
        <v>0.3405741868138797</v>
      </c>
      <c r="U15" s="71"/>
    </row>
    <row r="16" spans="1:21" ht="15.75">
      <c r="A16" s="143"/>
      <c r="B16" s="67" t="s">
        <v>15</v>
      </c>
      <c r="C16" s="4" t="s">
        <v>20</v>
      </c>
      <c r="D16" s="35">
        <v>18.06</v>
      </c>
      <c r="E16" s="5"/>
      <c r="F16" s="5"/>
      <c r="G16" s="5"/>
      <c r="H16" s="5">
        <v>-0.1</v>
      </c>
      <c r="I16" s="5">
        <v>0</v>
      </c>
      <c r="J16" s="5">
        <f t="shared" si="3"/>
        <v>-18.16</v>
      </c>
      <c r="K16" s="5">
        <f t="shared" si="4"/>
        <v>-0.1</v>
      </c>
      <c r="L16" s="5">
        <f t="shared" si="5"/>
        <v>-0.1</v>
      </c>
      <c r="M16" s="5">
        <f t="shared" si="6"/>
        <v>0</v>
      </c>
      <c r="N16" s="41">
        <f t="shared" si="0"/>
        <v>-0.005537098560354375</v>
      </c>
      <c r="O16" s="41">
        <f t="shared" si="1"/>
      </c>
      <c r="P16" s="41">
        <f t="shared" si="2"/>
      </c>
      <c r="U16" s="71"/>
    </row>
    <row r="17" spans="1:21" ht="15.75">
      <c r="A17" s="144"/>
      <c r="B17" s="52"/>
      <c r="C17" s="53" t="s">
        <v>9</v>
      </c>
      <c r="D17" s="29">
        <f>SUM(D6:D16)</f>
        <v>5728364.76</v>
      </c>
      <c r="E17" s="29">
        <f>SUM(E6:E16)</f>
        <v>20001705.400000002</v>
      </c>
      <c r="F17" s="29">
        <f>SUM(F6:F16)</f>
        <v>6601746.000000001</v>
      </c>
      <c r="G17" s="29">
        <f>SUM(G6:G16)</f>
        <v>3159817.1</v>
      </c>
      <c r="H17" s="29">
        <f>SUM(H6:H16)</f>
        <v>5889366.59</v>
      </c>
      <c r="I17" s="29">
        <f>SUM(I6:I16)</f>
        <v>1198273.36</v>
      </c>
      <c r="J17" s="29">
        <f t="shared" si="3"/>
        <v>161001.83000000007</v>
      </c>
      <c r="K17" s="29">
        <f t="shared" si="4"/>
        <v>-712379.4100000011</v>
      </c>
      <c r="L17" s="29">
        <f t="shared" si="5"/>
        <v>-14112338.810000002</v>
      </c>
      <c r="M17" s="29">
        <f>I17-G17</f>
        <v>-1961543.74</v>
      </c>
      <c r="N17" s="54">
        <f t="shared" si="0"/>
        <v>1.0281060715833326</v>
      </c>
      <c r="O17" s="54">
        <f t="shared" si="1"/>
        <v>0.8920922722564605</v>
      </c>
      <c r="P17" s="54">
        <f t="shared" si="2"/>
        <v>0.29444322232643216</v>
      </c>
      <c r="U17" s="71"/>
    </row>
    <row r="18" spans="1:21" ht="15.75">
      <c r="A18" s="68" t="s">
        <v>76</v>
      </c>
      <c r="B18" s="67" t="s">
        <v>22</v>
      </c>
      <c r="C18" s="4" t="s">
        <v>23</v>
      </c>
      <c r="D18" s="35">
        <v>28</v>
      </c>
      <c r="E18" s="5">
        <v>140</v>
      </c>
      <c r="F18" s="5">
        <v>55</v>
      </c>
      <c r="G18" s="5">
        <v>10</v>
      </c>
      <c r="H18" s="5">
        <v>28</v>
      </c>
      <c r="I18" s="5">
        <v>8</v>
      </c>
      <c r="J18" s="5">
        <f t="shared" si="3"/>
        <v>0</v>
      </c>
      <c r="K18" s="5">
        <f t="shared" si="4"/>
        <v>-27</v>
      </c>
      <c r="L18" s="5">
        <f t="shared" si="5"/>
        <v>-112</v>
      </c>
      <c r="M18" s="5">
        <f t="shared" si="6"/>
        <v>-2</v>
      </c>
      <c r="N18" s="41">
        <f t="shared" si="0"/>
        <v>1</v>
      </c>
      <c r="O18" s="41">
        <f t="shared" si="1"/>
        <v>0.509090909090909</v>
      </c>
      <c r="P18" s="41">
        <f t="shared" si="2"/>
        <v>0.2</v>
      </c>
      <c r="U18" s="71"/>
    </row>
    <row r="19" spans="1:21" ht="19.5" customHeight="1">
      <c r="A19" s="68" t="s">
        <v>21</v>
      </c>
      <c r="B19" s="67" t="s">
        <v>22</v>
      </c>
      <c r="C19" s="4" t="s">
        <v>95</v>
      </c>
      <c r="D19" s="35">
        <v>104.6</v>
      </c>
      <c r="E19" s="5"/>
      <c r="F19" s="5"/>
      <c r="G19" s="5"/>
      <c r="H19" s="5">
        <v>52</v>
      </c>
      <c r="I19" s="5">
        <v>9.6</v>
      </c>
      <c r="J19" s="5">
        <f t="shared" si="3"/>
        <v>-52.599999999999994</v>
      </c>
      <c r="K19" s="5">
        <f t="shared" si="4"/>
        <v>52</v>
      </c>
      <c r="L19" s="5">
        <f t="shared" si="5"/>
        <v>52</v>
      </c>
      <c r="M19" s="5">
        <f t="shared" si="6"/>
        <v>9.6</v>
      </c>
      <c r="N19" s="41">
        <f t="shared" si="0"/>
        <v>0.497131931166348</v>
      </c>
      <c r="O19" s="41">
        <f t="shared" si="1"/>
      </c>
      <c r="P19" s="41">
        <f t="shared" si="2"/>
      </c>
      <c r="U19" s="71"/>
    </row>
    <row r="20" spans="1:21" ht="31.5">
      <c r="A20" s="69" t="s">
        <v>25</v>
      </c>
      <c r="B20" s="70" t="s">
        <v>78</v>
      </c>
      <c r="C20" s="4" t="s">
        <v>26</v>
      </c>
      <c r="D20" s="35">
        <v>406.4</v>
      </c>
      <c r="E20" s="5">
        <v>969.6</v>
      </c>
      <c r="F20" s="5">
        <v>422</v>
      </c>
      <c r="G20" s="5">
        <v>115</v>
      </c>
      <c r="H20" s="5">
        <v>6.4</v>
      </c>
      <c r="I20" s="5">
        <v>0</v>
      </c>
      <c r="J20" s="5">
        <f t="shared" si="3"/>
        <v>-400</v>
      </c>
      <c r="K20" s="5">
        <f t="shared" si="4"/>
        <v>-415.6</v>
      </c>
      <c r="L20" s="5">
        <f t="shared" si="5"/>
        <v>-963.2</v>
      </c>
      <c r="M20" s="5">
        <f t="shared" si="6"/>
        <v>-115</v>
      </c>
      <c r="N20" s="41">
        <f t="shared" si="0"/>
        <v>0.015748031496062995</v>
      </c>
      <c r="O20" s="41">
        <f t="shared" si="1"/>
        <v>0.015165876777251185</v>
      </c>
      <c r="P20" s="41">
        <f t="shared" si="2"/>
        <v>0.006600660066006601</v>
      </c>
      <c r="U20" s="71"/>
    </row>
    <row r="21" spans="1:21" ht="15.75">
      <c r="A21" s="68" t="s">
        <v>24</v>
      </c>
      <c r="B21" s="67" t="s">
        <v>11</v>
      </c>
      <c r="C21" s="4" t="s">
        <v>80</v>
      </c>
      <c r="D21" s="35">
        <v>25</v>
      </c>
      <c r="E21" s="5">
        <v>120</v>
      </c>
      <c r="F21" s="5">
        <v>30</v>
      </c>
      <c r="G21" s="5">
        <v>5</v>
      </c>
      <c r="H21" s="5">
        <v>20</v>
      </c>
      <c r="I21" s="5">
        <v>5</v>
      </c>
      <c r="J21" s="5">
        <f t="shared" si="3"/>
        <v>-5</v>
      </c>
      <c r="K21" s="5">
        <f t="shared" si="4"/>
        <v>-10</v>
      </c>
      <c r="L21" s="5">
        <f t="shared" si="5"/>
        <v>-100</v>
      </c>
      <c r="M21" s="5">
        <f t="shared" si="6"/>
        <v>0</v>
      </c>
      <c r="N21" s="41">
        <f t="shared" si="0"/>
        <v>0.8</v>
      </c>
      <c r="O21" s="41">
        <f t="shared" si="1"/>
        <v>0.6666666666666666</v>
      </c>
      <c r="P21" s="41">
        <f t="shared" si="2"/>
        <v>0.16666666666666666</v>
      </c>
      <c r="U21" s="71"/>
    </row>
    <row r="22" spans="1:21" ht="27.75" customHeight="1">
      <c r="A22" s="149"/>
      <c r="B22" s="149"/>
      <c r="C22" s="49" t="s">
        <v>27</v>
      </c>
      <c r="D22" s="94">
        <f>D26+D29+D37+D49+D51+D57+D61+D63+D74</f>
        <v>2274718.3300000005</v>
      </c>
      <c r="E22" s="95">
        <f>E26+E29+E37+E49+E51+E57+E61+E63+E74</f>
        <v>6567862.88</v>
      </c>
      <c r="F22" s="95">
        <f>F26+F29+F37+F49+F51+F57+F61+F63+F74</f>
        <v>2650766.5500000003</v>
      </c>
      <c r="G22" s="95">
        <f>G26+G29+G37+G49+G51+G57+G61+G63+G74</f>
        <v>631876.38</v>
      </c>
      <c r="H22" s="92">
        <f>H26+H29+H37++H49+H57+H74+H51+H61+H63</f>
        <v>2870774.140000001</v>
      </c>
      <c r="I22" s="92">
        <f>I26+I29+I37+I49+I51+I57+I61+I63+I74</f>
        <v>556219.3800000001</v>
      </c>
      <c r="J22" s="87">
        <f t="shared" si="3"/>
        <v>596055.8100000005</v>
      </c>
      <c r="K22" s="87">
        <f t="shared" si="4"/>
        <v>220007.59000000078</v>
      </c>
      <c r="L22" s="87">
        <f t="shared" si="5"/>
        <v>-3697088.739999999</v>
      </c>
      <c r="M22" s="87">
        <f t="shared" si="6"/>
        <v>-75656.99999999988</v>
      </c>
      <c r="N22" s="48">
        <f t="shared" si="0"/>
        <v>1.2620349966582458</v>
      </c>
      <c r="O22" s="48">
        <f t="shared" si="1"/>
        <v>1.082997723809364</v>
      </c>
      <c r="P22" s="48">
        <f t="shared" si="2"/>
        <v>0.4370941038890874</v>
      </c>
      <c r="T22" s="6"/>
      <c r="U22" s="71"/>
    </row>
    <row r="23" spans="1:16" ht="15.75">
      <c r="A23" s="142" t="s">
        <v>25</v>
      </c>
      <c r="B23" s="145" t="s">
        <v>78</v>
      </c>
      <c r="C23" s="7" t="s">
        <v>97</v>
      </c>
      <c r="D23" s="38">
        <v>44666.37</v>
      </c>
      <c r="E23" s="5">
        <f>135475.5+25225.6</f>
        <v>160701.1</v>
      </c>
      <c r="F23" s="5">
        <v>60450</v>
      </c>
      <c r="G23" s="5">
        <v>13600</v>
      </c>
      <c r="H23" s="5">
        <v>64006.61</v>
      </c>
      <c r="I23" s="5">
        <v>13179.93</v>
      </c>
      <c r="J23" s="8">
        <f t="shared" si="3"/>
        <v>19340.239999999998</v>
      </c>
      <c r="K23" s="8">
        <f t="shared" si="4"/>
        <v>3556.6100000000006</v>
      </c>
      <c r="L23" s="8">
        <f t="shared" si="5"/>
        <v>-96694.49</v>
      </c>
      <c r="M23" s="8">
        <f t="shared" si="6"/>
        <v>-420.0699999999997</v>
      </c>
      <c r="N23" s="42">
        <f t="shared" si="0"/>
        <v>1.432993323612373</v>
      </c>
      <c r="O23" s="42">
        <f t="shared" si="1"/>
        <v>1.0588355665839537</v>
      </c>
      <c r="P23" s="42">
        <f t="shared" si="2"/>
        <v>0.398296029087542</v>
      </c>
    </row>
    <row r="24" spans="1:16" ht="15.75">
      <c r="A24" s="143"/>
      <c r="B24" s="146"/>
      <c r="C24" s="7" t="s">
        <v>28</v>
      </c>
      <c r="D24" s="37">
        <v>3971.23</v>
      </c>
      <c r="E24" s="89">
        <f>31937.84+7581.3</f>
        <v>39519.14</v>
      </c>
      <c r="F24" s="89">
        <f>31937.8+7581.34</f>
        <v>39519.14</v>
      </c>
      <c r="G24" s="89">
        <v>7581.34</v>
      </c>
      <c r="H24" s="89">
        <v>39519.14</v>
      </c>
      <c r="I24" s="89">
        <v>0</v>
      </c>
      <c r="J24" s="89">
        <f t="shared" si="3"/>
        <v>35547.909999999996</v>
      </c>
      <c r="K24" s="89">
        <f t="shared" si="4"/>
        <v>0</v>
      </c>
      <c r="L24" s="89">
        <f t="shared" si="5"/>
        <v>0</v>
      </c>
      <c r="M24" s="89">
        <f t="shared" si="6"/>
        <v>-7581.34</v>
      </c>
      <c r="N24" s="124">
        <f t="shared" si="0"/>
        <v>9.951360157935953</v>
      </c>
      <c r="O24" s="124">
        <f t="shared" si="1"/>
        <v>1</v>
      </c>
      <c r="P24" s="42">
        <f t="shared" si="2"/>
        <v>1</v>
      </c>
    </row>
    <row r="25" spans="1:16" ht="15.75">
      <c r="A25" s="143"/>
      <c r="B25" s="146"/>
      <c r="C25" s="7" t="s">
        <v>51</v>
      </c>
      <c r="D25" s="37">
        <v>31135.699999999997</v>
      </c>
      <c r="E25" s="5">
        <f>110819.4+14383.9-8662.9</f>
        <v>116540.4</v>
      </c>
      <c r="F25" s="5">
        <v>39700</v>
      </c>
      <c r="G25" s="5">
        <v>8550</v>
      </c>
      <c r="H25" s="5">
        <v>44091.46</v>
      </c>
      <c r="I25" s="5">
        <v>12264.54</v>
      </c>
      <c r="J25" s="8">
        <f t="shared" si="3"/>
        <v>12955.760000000002</v>
      </c>
      <c r="K25" s="8">
        <f t="shared" si="4"/>
        <v>4391.459999999999</v>
      </c>
      <c r="L25" s="8">
        <f t="shared" si="5"/>
        <v>-72448.94</v>
      </c>
      <c r="M25" s="8">
        <f t="shared" si="6"/>
        <v>3714.540000000001</v>
      </c>
      <c r="N25" s="42">
        <f t="shared" si="0"/>
        <v>1.4161062702942282</v>
      </c>
      <c r="O25" s="42">
        <f t="shared" si="1"/>
        <v>1.110616120906801</v>
      </c>
      <c r="P25" s="42">
        <f t="shared" si="2"/>
        <v>0.37833626793798547</v>
      </c>
    </row>
    <row r="26" spans="1:16" ht="15.75">
      <c r="A26" s="144"/>
      <c r="B26" s="147"/>
      <c r="C26" s="53" t="s">
        <v>9</v>
      </c>
      <c r="D26" s="29">
        <f aca="true" t="shared" si="7" ref="D26:I26">SUM(D23:D25)</f>
        <v>79773.3</v>
      </c>
      <c r="E26" s="29">
        <f t="shared" si="7"/>
        <v>316760.64</v>
      </c>
      <c r="F26" s="96">
        <f t="shared" si="7"/>
        <v>139669.14</v>
      </c>
      <c r="G26" s="96">
        <f t="shared" si="7"/>
        <v>29731.34</v>
      </c>
      <c r="H26" s="122">
        <f>SUM(H23:H25)</f>
        <v>147617.21</v>
      </c>
      <c r="I26" s="122">
        <f t="shared" si="7"/>
        <v>25444.47</v>
      </c>
      <c r="J26" s="29">
        <f t="shared" si="3"/>
        <v>67843.90999999999</v>
      </c>
      <c r="K26" s="29">
        <f t="shared" si="4"/>
        <v>7948.069999999978</v>
      </c>
      <c r="L26" s="29">
        <f t="shared" si="5"/>
        <v>-169143.43000000002</v>
      </c>
      <c r="M26" s="29">
        <f t="shared" si="6"/>
        <v>-4286.869999999999</v>
      </c>
      <c r="N26" s="55">
        <f t="shared" si="0"/>
        <v>1.8504588628024663</v>
      </c>
      <c r="O26" s="55">
        <f t="shared" si="1"/>
        <v>1.0569064146883125</v>
      </c>
      <c r="P26" s="55">
        <f t="shared" si="2"/>
        <v>0.4660213150219673</v>
      </c>
    </row>
    <row r="27" spans="1:16" ht="15.75">
      <c r="A27" s="135">
        <v>951</v>
      </c>
      <c r="B27" s="135" t="s">
        <v>11</v>
      </c>
      <c r="C27" s="9" t="s">
        <v>29</v>
      </c>
      <c r="D27" s="100">
        <v>30049.2</v>
      </c>
      <c r="E27" s="5">
        <v>91712.1</v>
      </c>
      <c r="F27" s="89">
        <v>30703</v>
      </c>
      <c r="G27" s="89">
        <v>5900</v>
      </c>
      <c r="H27" s="5">
        <v>36429.77</v>
      </c>
      <c r="I27" s="5">
        <v>9842.32</v>
      </c>
      <c r="J27" s="5">
        <f t="shared" si="3"/>
        <v>6380.569999999996</v>
      </c>
      <c r="K27" s="5">
        <f t="shared" si="4"/>
        <v>5726.769999999997</v>
      </c>
      <c r="L27" s="5">
        <f t="shared" si="5"/>
        <v>-55282.33000000001</v>
      </c>
      <c r="M27" s="5">
        <f t="shared" si="6"/>
        <v>3942.3199999999997</v>
      </c>
      <c r="N27" s="42">
        <f t="shared" si="0"/>
        <v>1.2123374332760937</v>
      </c>
      <c r="O27" s="42">
        <f t="shared" si="1"/>
        <v>1.1865215125557762</v>
      </c>
      <c r="P27" s="42">
        <f t="shared" si="2"/>
        <v>0.3972187966473344</v>
      </c>
    </row>
    <row r="28" spans="1:16" ht="15.75">
      <c r="A28" s="135"/>
      <c r="B28" s="135"/>
      <c r="C28" s="7" t="s">
        <v>30</v>
      </c>
      <c r="D28" s="100">
        <v>3434.99</v>
      </c>
      <c r="E28" s="5">
        <v>14224.9</v>
      </c>
      <c r="F28" s="89">
        <v>2622.1</v>
      </c>
      <c r="G28" s="89">
        <v>1380.8</v>
      </c>
      <c r="H28" s="5">
        <v>3874.5</v>
      </c>
      <c r="I28" s="5">
        <v>914.04</v>
      </c>
      <c r="J28" s="5">
        <f t="shared" si="3"/>
        <v>439.5100000000002</v>
      </c>
      <c r="K28" s="5">
        <f t="shared" si="4"/>
        <v>1252.4</v>
      </c>
      <c r="L28" s="5">
        <f t="shared" si="5"/>
        <v>-10350.4</v>
      </c>
      <c r="M28" s="5">
        <f t="shared" si="6"/>
        <v>-466.76</v>
      </c>
      <c r="N28" s="42">
        <f t="shared" si="0"/>
        <v>1.127950881953077</v>
      </c>
      <c r="O28" s="42">
        <f t="shared" si="1"/>
        <v>1.4776324320201366</v>
      </c>
      <c r="P28" s="42">
        <f t="shared" si="2"/>
        <v>0.27237449823900345</v>
      </c>
    </row>
    <row r="29" spans="1:16" ht="15.75">
      <c r="A29" s="135"/>
      <c r="B29" s="135"/>
      <c r="C29" s="56" t="s">
        <v>9</v>
      </c>
      <c r="D29" s="29">
        <f>D27+D28</f>
        <v>33484.19</v>
      </c>
      <c r="E29" s="29">
        <f>E27+E28</f>
        <v>105937</v>
      </c>
      <c r="F29" s="96">
        <f>F27+F28</f>
        <v>33325.1</v>
      </c>
      <c r="G29" s="96">
        <f>G27+G28</f>
        <v>7280.8</v>
      </c>
      <c r="H29" s="122">
        <f>H27+H28</f>
        <v>40304.27</v>
      </c>
      <c r="I29" s="122">
        <f>I27+I28</f>
        <v>10756.36</v>
      </c>
      <c r="J29" s="29">
        <f t="shared" si="3"/>
        <v>6820.0799999999945</v>
      </c>
      <c r="K29" s="29">
        <f t="shared" si="4"/>
        <v>6979.169999999998</v>
      </c>
      <c r="L29" s="29">
        <f t="shared" si="5"/>
        <v>-65632.73000000001</v>
      </c>
      <c r="M29" s="29">
        <f t="shared" si="6"/>
        <v>3475.5600000000004</v>
      </c>
      <c r="N29" s="55">
        <f t="shared" si="0"/>
        <v>1.2036806026963769</v>
      </c>
      <c r="O29" s="55">
        <f t="shared" si="1"/>
        <v>1.2094268284266214</v>
      </c>
      <c r="P29" s="55">
        <f t="shared" si="2"/>
        <v>0.38045508179389637</v>
      </c>
    </row>
    <row r="30" spans="1:16" ht="15.75">
      <c r="A30" s="150" t="s">
        <v>31</v>
      </c>
      <c r="B30" s="135" t="s">
        <v>32</v>
      </c>
      <c r="C30" s="7" t="s">
        <v>33</v>
      </c>
      <c r="D30" s="37"/>
      <c r="E30" s="3">
        <v>496</v>
      </c>
      <c r="F30" s="88">
        <f>G30</f>
        <v>0</v>
      </c>
      <c r="G30" s="88">
        <v>0</v>
      </c>
      <c r="H30" s="114">
        <v>0</v>
      </c>
      <c r="I30" s="114">
        <v>0</v>
      </c>
      <c r="J30" s="3">
        <f t="shared" si="3"/>
        <v>0</v>
      </c>
      <c r="K30" s="3">
        <f t="shared" si="4"/>
        <v>0</v>
      </c>
      <c r="L30" s="3">
        <f t="shared" si="5"/>
        <v>-496</v>
      </c>
      <c r="M30" s="3">
        <f t="shared" si="6"/>
        <v>0</v>
      </c>
      <c r="N30" s="42">
        <f t="shared" si="0"/>
      </c>
      <c r="O30" s="42">
        <f t="shared" si="1"/>
      </c>
      <c r="P30" s="42">
        <f t="shared" si="2"/>
        <v>0</v>
      </c>
    </row>
    <row r="31" spans="1:16" ht="15.75">
      <c r="A31" s="150"/>
      <c r="B31" s="135"/>
      <c r="C31" s="10" t="s">
        <v>34</v>
      </c>
      <c r="D31" s="37">
        <v>27806.1</v>
      </c>
      <c r="E31" s="3">
        <v>100081.7</v>
      </c>
      <c r="F31" s="88">
        <v>38000</v>
      </c>
      <c r="G31" s="88">
        <v>8500</v>
      </c>
      <c r="H31" s="5">
        <v>36702.67</v>
      </c>
      <c r="I31" s="5">
        <v>6905.16</v>
      </c>
      <c r="J31" s="3">
        <f t="shared" si="3"/>
        <v>8896.57</v>
      </c>
      <c r="K31" s="3">
        <f t="shared" si="4"/>
        <v>-1297.3300000000017</v>
      </c>
      <c r="L31" s="3">
        <f t="shared" si="5"/>
        <v>-63379.03</v>
      </c>
      <c r="M31" s="3">
        <f t="shared" si="6"/>
        <v>-1594.8400000000001</v>
      </c>
      <c r="N31" s="42">
        <f t="shared" si="0"/>
        <v>1.3199502986754705</v>
      </c>
      <c r="O31" s="42">
        <f t="shared" si="1"/>
        <v>0.9658597368421052</v>
      </c>
      <c r="P31" s="42">
        <f t="shared" si="2"/>
        <v>0.36672708397239456</v>
      </c>
    </row>
    <row r="32" spans="1:16" ht="15.75">
      <c r="A32" s="150"/>
      <c r="B32" s="135"/>
      <c r="C32" s="9" t="s">
        <v>35</v>
      </c>
      <c r="D32" s="37">
        <v>1165.08</v>
      </c>
      <c r="E32" s="3">
        <v>557</v>
      </c>
      <c r="F32" s="88">
        <v>232</v>
      </c>
      <c r="G32" s="88">
        <v>46.4</v>
      </c>
      <c r="H32" s="5">
        <v>3580.74</v>
      </c>
      <c r="I32" s="5">
        <v>515.07</v>
      </c>
      <c r="J32" s="3">
        <f t="shared" si="3"/>
        <v>2415.66</v>
      </c>
      <c r="K32" s="3">
        <f t="shared" si="4"/>
        <v>3348.74</v>
      </c>
      <c r="L32" s="3">
        <f t="shared" si="5"/>
        <v>3023.74</v>
      </c>
      <c r="M32" s="3">
        <f t="shared" si="6"/>
        <v>468.6700000000001</v>
      </c>
      <c r="N32" s="42">
        <f t="shared" si="0"/>
        <v>3.073385518590998</v>
      </c>
      <c r="O32" s="42">
        <f t="shared" si="1"/>
        <v>15.434224137931034</v>
      </c>
      <c r="P32" s="42">
        <f t="shared" si="2"/>
        <v>6.428617594254937</v>
      </c>
    </row>
    <row r="33" spans="1:16" ht="15.75">
      <c r="A33" s="150"/>
      <c r="B33" s="135"/>
      <c r="C33" s="9" t="s">
        <v>36</v>
      </c>
      <c r="D33" s="5">
        <f aca="true" t="shared" si="8" ref="D33:I33">D34+D36+D35</f>
        <v>27109.45</v>
      </c>
      <c r="E33" s="5">
        <f t="shared" si="8"/>
        <v>200264</v>
      </c>
      <c r="F33" s="89">
        <f t="shared" si="8"/>
        <v>145730.69999999998</v>
      </c>
      <c r="G33" s="89">
        <f t="shared" si="8"/>
        <v>4580.799999999999</v>
      </c>
      <c r="H33" s="5">
        <f t="shared" si="8"/>
        <v>149135.97999999998</v>
      </c>
      <c r="I33" s="5">
        <f t="shared" si="8"/>
        <v>5820.4400000000005</v>
      </c>
      <c r="J33" s="11">
        <f t="shared" si="3"/>
        <v>122026.52999999998</v>
      </c>
      <c r="K33" s="11">
        <f t="shared" si="4"/>
        <v>3405.279999999999</v>
      </c>
      <c r="L33" s="11">
        <f t="shared" si="5"/>
        <v>-51128.02000000002</v>
      </c>
      <c r="M33" s="11">
        <f t="shared" si="6"/>
        <v>1239.6400000000012</v>
      </c>
      <c r="N33" s="42">
        <f t="shared" si="0"/>
        <v>5.501254359642116</v>
      </c>
      <c r="O33" s="42">
        <f t="shared" si="1"/>
        <v>1.0233669364107907</v>
      </c>
      <c r="P33" s="42">
        <f t="shared" si="2"/>
        <v>0.7446969000918786</v>
      </c>
    </row>
    <row r="34" spans="1:16" ht="15.75">
      <c r="A34" s="150"/>
      <c r="B34" s="135"/>
      <c r="C34" s="12" t="s">
        <v>37</v>
      </c>
      <c r="D34" s="39">
        <v>13072.88</v>
      </c>
      <c r="E34" s="93">
        <f>48594.6+85630.3+29092.9</f>
        <v>163317.8</v>
      </c>
      <c r="F34" s="93">
        <v>132346.6</v>
      </c>
      <c r="G34" s="93">
        <v>2527.6</v>
      </c>
      <c r="H34" s="117">
        <v>131001.99</v>
      </c>
      <c r="I34" s="117">
        <v>1942.67</v>
      </c>
      <c r="J34" s="13">
        <f t="shared" si="3"/>
        <v>117929.11</v>
      </c>
      <c r="K34" s="13">
        <f t="shared" si="4"/>
        <v>-1344.6100000000006</v>
      </c>
      <c r="L34" s="13">
        <f t="shared" si="5"/>
        <v>-32315.809999999983</v>
      </c>
      <c r="M34" s="13">
        <f t="shared" si="6"/>
        <v>-584.9299999999998</v>
      </c>
      <c r="N34" s="42">
        <f t="shared" si="0"/>
        <v>10.020897461003239</v>
      </c>
      <c r="O34" s="42">
        <f t="shared" si="1"/>
        <v>0.989840237678943</v>
      </c>
      <c r="P34" s="42">
        <f t="shared" si="2"/>
        <v>0.8021292841319195</v>
      </c>
    </row>
    <row r="35" spans="1:16" ht="15.75">
      <c r="A35" s="150"/>
      <c r="B35" s="135"/>
      <c r="C35" s="12" t="s">
        <v>38</v>
      </c>
      <c r="D35" s="39">
        <v>1307.34</v>
      </c>
      <c r="E35" s="93">
        <v>1867.8</v>
      </c>
      <c r="F35" s="93">
        <v>160.3</v>
      </c>
      <c r="G35" s="93">
        <v>0</v>
      </c>
      <c r="H35" s="117">
        <v>893.33</v>
      </c>
      <c r="I35" s="117">
        <v>333.33</v>
      </c>
      <c r="J35" s="13">
        <f t="shared" si="3"/>
        <v>-414.0099999999999</v>
      </c>
      <c r="K35" s="13">
        <f t="shared" si="4"/>
        <v>733.03</v>
      </c>
      <c r="L35" s="13">
        <f t="shared" si="5"/>
        <v>-974.4699999999999</v>
      </c>
      <c r="M35" s="13">
        <f t="shared" si="6"/>
        <v>333.33</v>
      </c>
      <c r="N35" s="42">
        <f t="shared" si="0"/>
        <v>0.6833188000061193</v>
      </c>
      <c r="O35" s="42">
        <f t="shared" si="1"/>
        <v>5.5728633811603245</v>
      </c>
      <c r="P35" s="42">
        <f t="shared" si="2"/>
        <v>0.4782792590213085</v>
      </c>
    </row>
    <row r="36" spans="1:16" ht="15.75">
      <c r="A36" s="150"/>
      <c r="B36" s="135"/>
      <c r="C36" s="12" t="s">
        <v>39</v>
      </c>
      <c r="D36" s="29">
        <v>12729.23</v>
      </c>
      <c r="E36" s="5">
        <f>35078.4+85630.3-85630.3</f>
        <v>35078.40000000001</v>
      </c>
      <c r="F36" s="89">
        <v>13223.8</v>
      </c>
      <c r="G36" s="89">
        <v>2053.2</v>
      </c>
      <c r="H36" s="115">
        <v>17240.66</v>
      </c>
      <c r="I36" s="117">
        <v>3544.44</v>
      </c>
      <c r="J36" s="13">
        <f t="shared" si="3"/>
        <v>4511.43</v>
      </c>
      <c r="K36" s="13">
        <f t="shared" si="4"/>
        <v>4016.8600000000006</v>
      </c>
      <c r="L36" s="13">
        <f t="shared" si="5"/>
        <v>-17837.74000000001</v>
      </c>
      <c r="M36" s="13">
        <f t="shared" si="6"/>
        <v>1491.2400000000002</v>
      </c>
      <c r="N36" s="42">
        <f t="shared" si="0"/>
        <v>1.354414996036681</v>
      </c>
      <c r="O36" s="42">
        <f t="shared" si="1"/>
        <v>1.3037598874756122</v>
      </c>
      <c r="P36" s="42">
        <f t="shared" si="2"/>
        <v>0.491489349571246</v>
      </c>
    </row>
    <row r="37" spans="1:16" ht="15.75">
      <c r="A37" s="150"/>
      <c r="B37" s="150"/>
      <c r="C37" s="56" t="s">
        <v>9</v>
      </c>
      <c r="D37" s="29">
        <f>SUM(D30:D33)</f>
        <v>56080.630000000005</v>
      </c>
      <c r="E37" s="29">
        <f>SUM(E30:E33)</f>
        <v>301398.7</v>
      </c>
      <c r="F37" s="96">
        <f>SUM(F30:F33)</f>
        <v>183962.69999999998</v>
      </c>
      <c r="G37" s="96">
        <f>SUM(G30:G33)</f>
        <v>13127.199999999999</v>
      </c>
      <c r="H37" s="122">
        <f>SUM(H30:H33)</f>
        <v>189419.38999999998</v>
      </c>
      <c r="I37" s="122">
        <f>SUM(I30:I33)</f>
        <v>13240.67</v>
      </c>
      <c r="J37" s="29">
        <f t="shared" si="3"/>
        <v>133338.75999999998</v>
      </c>
      <c r="K37" s="29">
        <f t="shared" si="4"/>
        <v>5456.690000000002</v>
      </c>
      <c r="L37" s="29">
        <f t="shared" si="5"/>
        <v>-111979.31000000003</v>
      </c>
      <c r="M37" s="29">
        <f t="shared" si="6"/>
        <v>113.47000000000116</v>
      </c>
      <c r="N37" s="55">
        <f t="shared" si="0"/>
        <v>3.3776259289526522</v>
      </c>
      <c r="O37" s="55">
        <f aca="true" t="shared" si="9" ref="O37:O70">_xlfn.IFERROR(H37/F37,"")</f>
        <v>1.0296619369035136</v>
      </c>
      <c r="P37" s="55">
        <f aca="true" t="shared" si="10" ref="P37:P70">_xlfn.IFERROR(H37/E37,"")</f>
        <v>0.6284678401068086</v>
      </c>
    </row>
    <row r="38" spans="1:16" ht="31.5">
      <c r="A38" s="150" t="s">
        <v>77</v>
      </c>
      <c r="B38" s="135" t="s">
        <v>15</v>
      </c>
      <c r="C38" s="9" t="s">
        <v>41</v>
      </c>
      <c r="D38" s="38">
        <v>123369.74</v>
      </c>
      <c r="E38" s="5">
        <v>326627.4</v>
      </c>
      <c r="F38" s="5">
        <v>122200.5</v>
      </c>
      <c r="G38" s="5">
        <v>7400</v>
      </c>
      <c r="H38" s="5">
        <v>109074.09</v>
      </c>
      <c r="I38" s="5">
        <v>6646.23</v>
      </c>
      <c r="J38" s="11">
        <f t="shared" si="3"/>
        <v>-14295.650000000009</v>
      </c>
      <c r="K38" s="11">
        <f t="shared" si="4"/>
        <v>-13126.410000000003</v>
      </c>
      <c r="L38" s="11">
        <f t="shared" si="5"/>
        <v>-217553.31000000003</v>
      </c>
      <c r="M38" s="11">
        <f t="shared" si="6"/>
        <v>-753.7700000000004</v>
      </c>
      <c r="N38" s="42">
        <f t="shared" si="0"/>
        <v>0.884123529805607</v>
      </c>
      <c r="O38" s="42">
        <f t="shared" si="9"/>
        <v>0.8925830090711576</v>
      </c>
      <c r="P38" s="42">
        <f t="shared" si="10"/>
        <v>0.3339404165112908</v>
      </c>
    </row>
    <row r="39" spans="1:16" ht="15.75">
      <c r="A39" s="150"/>
      <c r="B39" s="135"/>
      <c r="C39" s="9" t="s">
        <v>42</v>
      </c>
      <c r="D39" s="38">
        <v>36766.45</v>
      </c>
      <c r="E39" s="5">
        <f>245061.4+9204.6</f>
        <v>254266</v>
      </c>
      <c r="F39" s="5">
        <v>87104.6</v>
      </c>
      <c r="G39" s="5">
        <v>30600</v>
      </c>
      <c r="H39" s="5">
        <v>150246.64</v>
      </c>
      <c r="I39" s="5">
        <v>5570.04</v>
      </c>
      <c r="J39" s="11">
        <f t="shared" si="3"/>
        <v>113480.19000000002</v>
      </c>
      <c r="K39" s="11">
        <f t="shared" si="4"/>
        <v>63142.04000000001</v>
      </c>
      <c r="L39" s="11">
        <f t="shared" si="5"/>
        <v>-104019.35999999999</v>
      </c>
      <c r="M39" s="11">
        <f t="shared" si="6"/>
        <v>-25029.96</v>
      </c>
      <c r="N39" s="42">
        <f t="shared" si="0"/>
        <v>4.086514743740557</v>
      </c>
      <c r="O39" s="42">
        <f t="shared" si="9"/>
        <v>1.724899029442762</v>
      </c>
      <c r="P39" s="42">
        <f t="shared" si="10"/>
        <v>0.5909033846444276</v>
      </c>
    </row>
    <row r="40" spans="1:16" ht="31.5">
      <c r="A40" s="150"/>
      <c r="B40" s="135"/>
      <c r="C40" s="7" t="s">
        <v>43</v>
      </c>
      <c r="D40" s="38">
        <v>18083.62</v>
      </c>
      <c r="E40" s="5">
        <f>48566.2-5534.78</f>
        <v>43031.42</v>
      </c>
      <c r="F40" s="5">
        <v>15110</v>
      </c>
      <c r="G40" s="5">
        <v>770</v>
      </c>
      <c r="H40" s="5">
        <v>14163.77</v>
      </c>
      <c r="I40" s="5">
        <v>946.95</v>
      </c>
      <c r="J40" s="5">
        <f t="shared" si="3"/>
        <v>-3919.8499999999985</v>
      </c>
      <c r="K40" s="5">
        <f t="shared" si="4"/>
        <v>-946.2299999999996</v>
      </c>
      <c r="L40" s="5">
        <f t="shared" si="5"/>
        <v>-28867.649999999998</v>
      </c>
      <c r="M40" s="5">
        <f t="shared" si="6"/>
        <v>176.95000000000005</v>
      </c>
      <c r="N40" s="42">
        <f t="shared" si="0"/>
        <v>0.7832375376169153</v>
      </c>
      <c r="O40" s="42">
        <f t="shared" si="9"/>
        <v>0.9373772336201192</v>
      </c>
      <c r="P40" s="42">
        <f t="shared" si="10"/>
        <v>0.3291494912322206</v>
      </c>
    </row>
    <row r="41" spans="1:17" s="40" customFormat="1" ht="25.5" customHeight="1">
      <c r="A41" s="151"/>
      <c r="B41" s="155"/>
      <c r="C41" s="9" t="s">
        <v>42</v>
      </c>
      <c r="D41" s="38">
        <v>955.13</v>
      </c>
      <c r="E41" s="5"/>
      <c r="F41" s="5"/>
      <c r="G41" s="5"/>
      <c r="H41" s="5">
        <v>0</v>
      </c>
      <c r="I41" s="5">
        <v>0</v>
      </c>
      <c r="J41" s="5">
        <f t="shared" si="3"/>
        <v>-955.13</v>
      </c>
      <c r="K41" s="5">
        <f t="shared" si="4"/>
        <v>0</v>
      </c>
      <c r="L41" s="5">
        <f t="shared" si="5"/>
        <v>0</v>
      </c>
      <c r="M41" s="5">
        <f t="shared" si="6"/>
        <v>0</v>
      </c>
      <c r="N41" s="45">
        <f t="shared" si="0"/>
        <v>0</v>
      </c>
      <c r="O41" s="45">
        <f t="shared" si="9"/>
      </c>
      <c r="P41" s="45">
        <f t="shared" si="10"/>
      </c>
      <c r="Q41" s="60"/>
    </row>
    <row r="42" spans="1:16" ht="31.5">
      <c r="A42" s="152"/>
      <c r="B42" s="156"/>
      <c r="C42" s="14" t="s">
        <v>82</v>
      </c>
      <c r="D42" s="38">
        <v>1481.96</v>
      </c>
      <c r="E42" s="5">
        <v>2948.3</v>
      </c>
      <c r="F42" s="5">
        <v>1412.3</v>
      </c>
      <c r="G42" s="5">
        <v>0</v>
      </c>
      <c r="H42" s="5">
        <v>1801.0900000000001</v>
      </c>
      <c r="I42" s="5">
        <v>-11.580000000000002</v>
      </c>
      <c r="J42" s="5">
        <f t="shared" si="3"/>
        <v>319.1300000000001</v>
      </c>
      <c r="K42" s="5">
        <f t="shared" si="4"/>
        <v>388.7900000000002</v>
      </c>
      <c r="L42" s="5">
        <f t="shared" si="5"/>
        <v>-1147.21</v>
      </c>
      <c r="M42" s="5">
        <f t="shared" si="6"/>
        <v>-11.580000000000002</v>
      </c>
      <c r="N42" s="42">
        <f t="shared" si="0"/>
        <v>1.2153431941482902</v>
      </c>
      <c r="O42" s="42">
        <f t="shared" si="9"/>
        <v>1.2752885364299371</v>
      </c>
      <c r="P42" s="42">
        <f t="shared" si="10"/>
        <v>0.6108910219448496</v>
      </c>
    </row>
    <row r="43" spans="1:16" ht="15.75">
      <c r="A43" s="153"/>
      <c r="B43" s="157"/>
      <c r="C43" s="15" t="s">
        <v>86</v>
      </c>
      <c r="D43" s="38">
        <v>64.59</v>
      </c>
      <c r="E43" s="5"/>
      <c r="F43" s="5"/>
      <c r="G43" s="5"/>
      <c r="H43" s="5">
        <v>144.1</v>
      </c>
      <c r="I43" s="5">
        <f>36.97+61.97</f>
        <v>98.94</v>
      </c>
      <c r="J43" s="5">
        <f t="shared" si="3"/>
        <v>79.50999999999999</v>
      </c>
      <c r="K43" s="5">
        <f t="shared" si="4"/>
        <v>144.1</v>
      </c>
      <c r="L43" s="5">
        <f t="shared" si="5"/>
        <v>144.1</v>
      </c>
      <c r="M43" s="5">
        <f t="shared" si="6"/>
        <v>98.94</v>
      </c>
      <c r="N43" s="42">
        <f t="shared" si="0"/>
        <v>2.2309955101408883</v>
      </c>
      <c r="O43" s="42">
        <f t="shared" si="9"/>
      </c>
      <c r="P43" s="42">
        <f t="shared" si="10"/>
      </c>
    </row>
    <row r="44" spans="1:16" ht="27.75" customHeight="1">
      <c r="A44" s="150"/>
      <c r="B44" s="135"/>
      <c r="C44" s="9" t="s">
        <v>44</v>
      </c>
      <c r="D44" s="38">
        <v>60899.65</v>
      </c>
      <c r="E44" s="3">
        <v>104142</v>
      </c>
      <c r="F44" s="3">
        <v>34840</v>
      </c>
      <c r="G44" s="3">
        <v>9600</v>
      </c>
      <c r="H44" s="5">
        <v>88562.92</v>
      </c>
      <c r="I44" s="5">
        <v>31007.23</v>
      </c>
      <c r="J44" s="3">
        <f t="shared" si="3"/>
        <v>27663.269999999997</v>
      </c>
      <c r="K44" s="3">
        <f t="shared" si="4"/>
        <v>53722.92</v>
      </c>
      <c r="L44" s="3">
        <f t="shared" si="5"/>
        <v>-15579.080000000002</v>
      </c>
      <c r="M44" s="3">
        <f t="shared" si="6"/>
        <v>21407.23</v>
      </c>
      <c r="N44" s="42">
        <f t="shared" si="0"/>
        <v>1.4542434972943195</v>
      </c>
      <c r="O44" s="42">
        <f t="shared" si="9"/>
        <v>2.5419896670493687</v>
      </c>
      <c r="P44" s="42">
        <f t="shared" si="10"/>
        <v>0.8504054080006145</v>
      </c>
    </row>
    <row r="45" spans="1:17" s="40" customFormat="1" ht="18" customHeight="1" hidden="1">
      <c r="A45" s="150"/>
      <c r="B45" s="135"/>
      <c r="C45" s="79" t="s">
        <v>45</v>
      </c>
      <c r="E45" s="3">
        <v>0</v>
      </c>
      <c r="F45" s="3"/>
      <c r="G45" s="3"/>
      <c r="H45" s="5">
        <v>0</v>
      </c>
      <c r="I45" s="5">
        <v>0</v>
      </c>
      <c r="J45" s="3">
        <v>0</v>
      </c>
      <c r="K45" s="3">
        <f t="shared" si="4"/>
        <v>0</v>
      </c>
      <c r="L45" s="3">
        <f t="shared" si="5"/>
        <v>0</v>
      </c>
      <c r="M45" s="3">
        <f t="shared" si="6"/>
        <v>0</v>
      </c>
      <c r="N45" s="42">
        <f t="shared" si="0"/>
      </c>
      <c r="O45" s="45">
        <f t="shared" si="9"/>
      </c>
      <c r="P45" s="45">
        <f t="shared" si="10"/>
      </c>
      <c r="Q45" s="60"/>
    </row>
    <row r="46" spans="1:16" ht="27.75" customHeight="1">
      <c r="A46" s="150"/>
      <c r="B46" s="135"/>
      <c r="C46" s="9" t="s">
        <v>46</v>
      </c>
      <c r="D46" s="38">
        <v>19023.22</v>
      </c>
      <c r="E46" s="3">
        <v>45272.2</v>
      </c>
      <c r="F46" s="3">
        <v>10300</v>
      </c>
      <c r="G46" s="3">
        <v>2500</v>
      </c>
      <c r="H46" s="5">
        <v>32313.11</v>
      </c>
      <c r="I46" s="5">
        <v>8273.94</v>
      </c>
      <c r="J46" s="37">
        <v>5230.72</v>
      </c>
      <c r="K46" s="3">
        <f t="shared" si="4"/>
        <v>22013.11</v>
      </c>
      <c r="L46" s="3">
        <f t="shared" si="5"/>
        <v>-12959.089999999997</v>
      </c>
      <c r="M46" s="3">
        <f t="shared" si="6"/>
        <v>5773.9400000000005</v>
      </c>
      <c r="N46" s="42">
        <f t="shared" si="0"/>
        <v>1.6986141147502893</v>
      </c>
      <c r="O46" s="42">
        <f t="shared" si="9"/>
        <v>3.137195145631068</v>
      </c>
      <c r="P46" s="42">
        <f t="shared" si="10"/>
        <v>0.7137517063451744</v>
      </c>
    </row>
    <row r="47" spans="1:16" ht="27.75" customHeight="1">
      <c r="A47" s="154"/>
      <c r="B47" s="158"/>
      <c r="C47" s="7" t="s">
        <v>51</v>
      </c>
      <c r="D47" s="106">
        <v>8668.17</v>
      </c>
      <c r="E47" s="108">
        <v>14007.9</v>
      </c>
      <c r="F47" s="108">
        <v>2731.9</v>
      </c>
      <c r="G47" s="108">
        <v>0</v>
      </c>
      <c r="H47" s="5">
        <v>4315.53</v>
      </c>
      <c r="I47" s="5">
        <v>799.5999999999999</v>
      </c>
      <c r="J47" s="37">
        <v>5230.72</v>
      </c>
      <c r="K47" s="107">
        <f t="shared" si="4"/>
        <v>1583.6299999999997</v>
      </c>
      <c r="L47" s="107">
        <f t="shared" si="5"/>
        <v>-9692.369999999999</v>
      </c>
      <c r="M47" s="107">
        <f t="shared" si="6"/>
        <v>799.5999999999999</v>
      </c>
      <c r="N47" s="42">
        <f t="shared" si="0"/>
        <v>0.49785940977161264</v>
      </c>
      <c r="O47" s="42">
        <f t="shared" si="9"/>
        <v>1.579680808228705</v>
      </c>
      <c r="P47" s="42">
        <f t="shared" si="10"/>
        <v>0.30807829867431946</v>
      </c>
    </row>
    <row r="48" spans="1:16" ht="27.75" customHeight="1">
      <c r="A48" s="154"/>
      <c r="B48" s="158"/>
      <c r="C48" s="7" t="s">
        <v>108</v>
      </c>
      <c r="D48" s="106">
        <v>-0.69</v>
      </c>
      <c r="E48" s="108">
        <v>0</v>
      </c>
      <c r="F48" s="108">
        <v>0</v>
      </c>
      <c r="G48" s="108">
        <v>0</v>
      </c>
      <c r="H48" s="5">
        <v>16510.2</v>
      </c>
      <c r="I48" s="5">
        <v>2561.32</v>
      </c>
      <c r="J48" s="37">
        <v>5230.72</v>
      </c>
      <c r="K48" s="107">
        <f t="shared" si="4"/>
        <v>16510.2</v>
      </c>
      <c r="L48" s="107">
        <f t="shared" si="5"/>
        <v>16510.2</v>
      </c>
      <c r="M48" s="107">
        <f t="shared" si="6"/>
        <v>2561.32</v>
      </c>
      <c r="N48" s="42">
        <f t="shared" si="0"/>
        <v>-23927.826086956524</v>
      </c>
      <c r="O48" s="42">
        <f t="shared" si="9"/>
      </c>
      <c r="P48" s="42">
        <f t="shared" si="10"/>
      </c>
    </row>
    <row r="49" spans="1:16" ht="15.75">
      <c r="A49" s="150"/>
      <c r="B49" s="150"/>
      <c r="C49" s="56" t="s">
        <v>9</v>
      </c>
      <c r="D49" s="29">
        <f>SUM(D38:D48)</f>
        <v>269311.83999999997</v>
      </c>
      <c r="E49" s="96">
        <f>SUM(E38:E48)</f>
        <v>790295.2200000001</v>
      </c>
      <c r="F49" s="96">
        <f>SUM(F38:F48)</f>
        <v>273699.30000000005</v>
      </c>
      <c r="G49" s="96">
        <f>SUM(G38:G48)</f>
        <v>50870</v>
      </c>
      <c r="H49" s="122">
        <f>SUM(H38:H48)</f>
        <v>417131.45</v>
      </c>
      <c r="I49" s="122">
        <f>SUM(I38:I48)</f>
        <v>55892.67</v>
      </c>
      <c r="J49" s="29">
        <f t="shared" si="3"/>
        <v>147819.61000000004</v>
      </c>
      <c r="K49" s="29">
        <f t="shared" si="4"/>
        <v>143432.14999999997</v>
      </c>
      <c r="L49" s="29">
        <f t="shared" si="5"/>
        <v>-373163.7700000001</v>
      </c>
      <c r="M49" s="29">
        <f t="shared" si="6"/>
        <v>5022.669999999998</v>
      </c>
      <c r="N49" s="42">
        <f aca="true" t="shared" si="11" ref="N49:N87">_xlfn.IFERROR(H49/D49,"")</f>
        <v>1.5488789872736382</v>
      </c>
      <c r="O49" s="42">
        <f t="shared" si="9"/>
        <v>1.5240501163137792</v>
      </c>
      <c r="P49" s="42">
        <f t="shared" si="10"/>
        <v>0.5278172503687926</v>
      </c>
    </row>
    <row r="50" spans="1:16" ht="15.75">
      <c r="A50" s="150" t="s">
        <v>47</v>
      </c>
      <c r="B50" s="135" t="s">
        <v>48</v>
      </c>
      <c r="C50" s="7" t="s">
        <v>28</v>
      </c>
      <c r="D50" s="37">
        <v>8187.13</v>
      </c>
      <c r="E50" s="88">
        <f>4487-1755.86</f>
        <v>2731.1400000000003</v>
      </c>
      <c r="F50" s="88">
        <f>4487-1755.9</f>
        <v>2731.1</v>
      </c>
      <c r="G50" s="88">
        <v>-1755.86</v>
      </c>
      <c r="H50" s="89">
        <v>2731.14</v>
      </c>
      <c r="I50" s="89">
        <v>0</v>
      </c>
      <c r="J50" s="125">
        <f t="shared" si="3"/>
        <v>-5455.99</v>
      </c>
      <c r="K50" s="125">
        <f t="shared" si="4"/>
        <v>0.03999999999996362</v>
      </c>
      <c r="L50" s="125">
        <f t="shared" si="5"/>
        <v>0</v>
      </c>
      <c r="M50" s="125">
        <f t="shared" si="6"/>
        <v>1755.86</v>
      </c>
      <c r="N50" s="124">
        <f t="shared" si="11"/>
        <v>0.3335894263313273</v>
      </c>
      <c r="O50" s="124">
        <f t="shared" si="9"/>
        <v>1.0000146461132877</v>
      </c>
      <c r="P50" s="124">
        <f t="shared" si="10"/>
        <v>0.9999999999999999</v>
      </c>
    </row>
    <row r="51" spans="1:16" ht="15.75">
      <c r="A51" s="150"/>
      <c r="B51" s="135"/>
      <c r="C51" s="57" t="s">
        <v>9</v>
      </c>
      <c r="D51" s="29">
        <f>D50</f>
        <v>8187.13</v>
      </c>
      <c r="E51" s="97">
        <f>SUM(E50:E50)</f>
        <v>2731.1400000000003</v>
      </c>
      <c r="F51" s="97">
        <f>SUM(F50:F50)</f>
        <v>2731.1</v>
      </c>
      <c r="G51" s="97">
        <f>SUM(G50:G50)</f>
        <v>-1755.86</v>
      </c>
      <c r="H51" s="126">
        <f>SUM(H50:H50)</f>
        <v>2731.14</v>
      </c>
      <c r="I51" s="126">
        <f>SUM(I50:I50)</f>
        <v>0</v>
      </c>
      <c r="J51" s="127">
        <f t="shared" si="3"/>
        <v>-5455.99</v>
      </c>
      <c r="K51" s="127">
        <f t="shared" si="4"/>
        <v>0.03999999999996362</v>
      </c>
      <c r="L51" s="127">
        <f t="shared" si="5"/>
        <v>0</v>
      </c>
      <c r="M51" s="127">
        <f t="shared" si="6"/>
        <v>1755.86</v>
      </c>
      <c r="N51" s="124">
        <f t="shared" si="11"/>
        <v>0.3335894263313273</v>
      </c>
      <c r="O51" s="124">
        <f t="shared" si="9"/>
        <v>1.0000146461132877</v>
      </c>
      <c r="P51" s="124">
        <f t="shared" si="10"/>
        <v>0.9999999999999999</v>
      </c>
    </row>
    <row r="52" spans="1:17" s="40" customFormat="1" ht="15.75" hidden="1">
      <c r="A52" s="142" t="s">
        <v>50</v>
      </c>
      <c r="B52" s="145" t="s">
        <v>79</v>
      </c>
      <c r="C52" s="80" t="s">
        <v>28</v>
      </c>
      <c r="D52" s="37"/>
      <c r="E52" s="98"/>
      <c r="F52" s="98"/>
      <c r="G52" s="98"/>
      <c r="H52" s="5">
        <v>0</v>
      </c>
      <c r="I52" s="5">
        <v>0</v>
      </c>
      <c r="J52" s="72">
        <f t="shared" si="3"/>
        <v>0</v>
      </c>
      <c r="K52" s="72">
        <f t="shared" si="4"/>
        <v>0</v>
      </c>
      <c r="L52" s="72">
        <f t="shared" si="5"/>
        <v>0</v>
      </c>
      <c r="M52" s="72">
        <f t="shared" si="6"/>
        <v>0</v>
      </c>
      <c r="N52" s="73">
        <f t="shared" si="11"/>
      </c>
      <c r="O52" s="73">
        <f t="shared" si="9"/>
      </c>
      <c r="P52" s="73">
        <f t="shared" si="10"/>
      </c>
      <c r="Q52" s="60"/>
    </row>
    <row r="53" spans="1:16" ht="15.75">
      <c r="A53" s="142"/>
      <c r="B53" s="145"/>
      <c r="C53" s="16" t="s">
        <v>88</v>
      </c>
      <c r="D53" s="37">
        <v>167055.4</v>
      </c>
      <c r="E53" s="88">
        <f>537127.7+16130.16+82796.52</f>
        <v>636054.38</v>
      </c>
      <c r="F53" s="88">
        <f>225908.06+20238.8</f>
        <v>246146.86</v>
      </c>
      <c r="G53" s="88">
        <f>42843.5+20238.8</f>
        <v>63082.3</v>
      </c>
      <c r="H53" s="89">
        <v>240968.58</v>
      </c>
      <c r="I53" s="89">
        <v>47530.41</v>
      </c>
      <c r="J53" s="125">
        <f t="shared" si="3"/>
        <v>73913.18</v>
      </c>
      <c r="K53" s="125">
        <f t="shared" si="4"/>
        <v>-5178.279999999999</v>
      </c>
      <c r="L53" s="125">
        <f t="shared" si="5"/>
        <v>-395085.80000000005</v>
      </c>
      <c r="M53" s="125">
        <f t="shared" si="6"/>
        <v>-15551.89</v>
      </c>
      <c r="N53" s="124">
        <f t="shared" si="11"/>
        <v>1.442447116345835</v>
      </c>
      <c r="O53" s="124">
        <f t="shared" si="9"/>
        <v>0.9789626404334388</v>
      </c>
      <c r="P53" s="124">
        <f t="shared" si="10"/>
        <v>0.37884902231158285</v>
      </c>
    </row>
    <row r="54" spans="1:16" ht="15.75">
      <c r="A54" s="159"/>
      <c r="B54" s="160"/>
      <c r="C54" s="16" t="s">
        <v>83</v>
      </c>
      <c r="D54" s="37">
        <v>111032.27</v>
      </c>
      <c r="E54" s="91">
        <f>354489-4173.5+65502.64</f>
        <v>415818.14</v>
      </c>
      <c r="F54" s="91">
        <f>147550.6+7178.6</f>
        <v>154729.2</v>
      </c>
      <c r="G54" s="91">
        <f>28688.9+7178.6</f>
        <v>35867.5</v>
      </c>
      <c r="H54" s="89">
        <v>143411.87</v>
      </c>
      <c r="I54" s="89">
        <v>30122.52</v>
      </c>
      <c r="J54" s="128">
        <f t="shared" si="3"/>
        <v>32379.59999999999</v>
      </c>
      <c r="K54" s="128">
        <f t="shared" si="4"/>
        <v>-11317.330000000016</v>
      </c>
      <c r="L54" s="128">
        <f t="shared" si="5"/>
        <v>-272406.27</v>
      </c>
      <c r="M54" s="128">
        <f t="shared" si="6"/>
        <v>-5744.98</v>
      </c>
      <c r="N54" s="124">
        <f t="shared" si="11"/>
        <v>1.2916233271642559</v>
      </c>
      <c r="O54" s="124">
        <f t="shared" si="9"/>
        <v>0.9268571801573329</v>
      </c>
      <c r="P54" s="124">
        <f t="shared" si="10"/>
        <v>0.3448908457913837</v>
      </c>
    </row>
    <row r="55" spans="1:16" ht="15.75">
      <c r="A55" s="142"/>
      <c r="B55" s="145"/>
      <c r="C55" s="16" t="s">
        <v>84</v>
      </c>
      <c r="D55" s="37">
        <v>1449884.44</v>
      </c>
      <c r="E55" s="89">
        <f>3510723.4+35171.1+96433.35+188389.81</f>
        <v>3830717.66</v>
      </c>
      <c r="F55" s="89">
        <f>1418198.25+132911.8</f>
        <v>1551110.05</v>
      </c>
      <c r="G55" s="89">
        <f>287662.9+132911.8</f>
        <v>420574.7</v>
      </c>
      <c r="H55" s="89">
        <v>1574133.99</v>
      </c>
      <c r="I55" s="89">
        <v>351257.4</v>
      </c>
      <c r="J55" s="125">
        <f t="shared" si="3"/>
        <v>124249.55000000005</v>
      </c>
      <c r="K55" s="125">
        <f t="shared" si="4"/>
        <v>23023.939999999944</v>
      </c>
      <c r="L55" s="125">
        <f t="shared" si="5"/>
        <v>-2256583.67</v>
      </c>
      <c r="M55" s="125">
        <f t="shared" si="6"/>
        <v>-69317.29999999999</v>
      </c>
      <c r="N55" s="124">
        <f t="shared" si="11"/>
        <v>1.0856961745171911</v>
      </c>
      <c r="O55" s="124">
        <f t="shared" si="9"/>
        <v>1.0148435244810643</v>
      </c>
      <c r="P55" s="124">
        <f t="shared" si="10"/>
        <v>0.4109240434075739</v>
      </c>
    </row>
    <row r="56" spans="1:16" ht="15.75">
      <c r="A56" s="159"/>
      <c r="B56" s="160"/>
      <c r="C56" s="16" t="s">
        <v>85</v>
      </c>
      <c r="D56" s="37">
        <v>1141.74</v>
      </c>
      <c r="E56" s="88"/>
      <c r="F56" s="88">
        <v>0</v>
      </c>
      <c r="G56" s="88"/>
      <c r="H56" s="89">
        <v>511.22</v>
      </c>
      <c r="I56" s="89">
        <v>67.7</v>
      </c>
      <c r="J56" s="125">
        <f t="shared" si="3"/>
        <v>-630.52</v>
      </c>
      <c r="K56" s="125">
        <f t="shared" si="4"/>
        <v>511.22</v>
      </c>
      <c r="L56" s="125">
        <f t="shared" si="5"/>
        <v>511.22</v>
      </c>
      <c r="M56" s="125">
        <f t="shared" si="6"/>
        <v>67.7</v>
      </c>
      <c r="N56" s="124">
        <f t="shared" si="11"/>
        <v>0.4477551806891236</v>
      </c>
      <c r="O56" s="124">
        <f t="shared" si="9"/>
      </c>
      <c r="P56" s="124">
        <f t="shared" si="10"/>
      </c>
    </row>
    <row r="57" spans="1:16" ht="15.75">
      <c r="A57" s="142"/>
      <c r="B57" s="145"/>
      <c r="C57" s="58" t="s">
        <v>9</v>
      </c>
      <c r="D57" s="59">
        <f>SUM(D52:D56)</f>
        <v>1729113.8499999999</v>
      </c>
      <c r="E57" s="99">
        <f>SUM(E52:E56)</f>
        <v>4882590.18</v>
      </c>
      <c r="F57" s="99">
        <f>SUM(F52:F56)</f>
        <v>1951986.11</v>
      </c>
      <c r="G57" s="99">
        <f>SUM(G52:G56)</f>
        <v>519524.5</v>
      </c>
      <c r="H57" s="126">
        <f>SUM(H52:H56)</f>
        <v>1959025.66</v>
      </c>
      <c r="I57" s="126">
        <f>SUM(I52:I56)</f>
        <v>428978.03</v>
      </c>
      <c r="J57" s="99">
        <f t="shared" si="3"/>
        <v>229911.81000000006</v>
      </c>
      <c r="K57" s="99">
        <f t="shared" si="4"/>
        <v>7039.549999999814</v>
      </c>
      <c r="L57" s="99">
        <f t="shared" si="5"/>
        <v>-2923564.5199999996</v>
      </c>
      <c r="M57" s="99">
        <f t="shared" si="6"/>
        <v>-90546.46999999997</v>
      </c>
      <c r="N57" s="124">
        <f t="shared" si="11"/>
        <v>1.1329651081101455</v>
      </c>
      <c r="O57" s="124">
        <f t="shared" si="9"/>
        <v>1.0036063525062686</v>
      </c>
      <c r="P57" s="124">
        <f t="shared" si="10"/>
        <v>0.40122672347651345</v>
      </c>
    </row>
    <row r="58" spans="1:16" ht="15.75">
      <c r="A58" s="161">
        <v>991</v>
      </c>
      <c r="B58" s="161" t="s">
        <v>52</v>
      </c>
      <c r="C58" s="9" t="s">
        <v>53</v>
      </c>
      <c r="D58" s="38">
        <v>22213.12</v>
      </c>
      <c r="E58" s="89">
        <v>54298.2</v>
      </c>
      <c r="F58" s="89">
        <v>21200</v>
      </c>
      <c r="G58" s="89">
        <v>4200</v>
      </c>
      <c r="H58" s="89">
        <v>22085.25</v>
      </c>
      <c r="I58" s="89">
        <v>4237.75</v>
      </c>
      <c r="J58" s="89">
        <f t="shared" si="3"/>
        <v>-127.86999999999898</v>
      </c>
      <c r="K58" s="89">
        <f t="shared" si="4"/>
        <v>885.25</v>
      </c>
      <c r="L58" s="89">
        <f t="shared" si="5"/>
        <v>-32212.949999999997</v>
      </c>
      <c r="M58" s="89">
        <f t="shared" si="6"/>
        <v>37.75</v>
      </c>
      <c r="N58" s="124">
        <f t="shared" si="11"/>
        <v>0.9942434921343782</v>
      </c>
      <c r="O58" s="124">
        <f t="shared" si="9"/>
        <v>1.041757075471698</v>
      </c>
      <c r="P58" s="124">
        <f t="shared" si="10"/>
        <v>0.4067400024310198</v>
      </c>
    </row>
    <row r="59" spans="1:16" ht="15.75">
      <c r="A59" s="161"/>
      <c r="B59" s="161"/>
      <c r="C59" s="7" t="s">
        <v>54</v>
      </c>
      <c r="D59" s="38">
        <v>1849</v>
      </c>
      <c r="E59" s="89">
        <v>0</v>
      </c>
      <c r="F59" s="89">
        <v>0</v>
      </c>
      <c r="G59" s="89">
        <v>0</v>
      </c>
      <c r="H59" s="89">
        <v>3386.69</v>
      </c>
      <c r="I59" s="89">
        <v>1123.23</v>
      </c>
      <c r="J59" s="89">
        <f t="shared" si="3"/>
        <v>1537.69</v>
      </c>
      <c r="K59" s="89">
        <f t="shared" si="4"/>
        <v>3386.69</v>
      </c>
      <c r="L59" s="89">
        <f t="shared" si="5"/>
        <v>3386.69</v>
      </c>
      <c r="M59" s="89">
        <f t="shared" si="6"/>
        <v>1123.23</v>
      </c>
      <c r="N59" s="129">
        <f t="shared" si="11"/>
        <v>1.8316333153055706</v>
      </c>
      <c r="O59" s="124">
        <f t="shared" si="9"/>
      </c>
      <c r="P59" s="124">
        <f t="shared" si="10"/>
      </c>
    </row>
    <row r="60" spans="1:16" ht="15.75">
      <c r="A60" s="161"/>
      <c r="B60" s="161"/>
      <c r="C60" s="109" t="s">
        <v>55</v>
      </c>
      <c r="D60" s="38">
        <v>0</v>
      </c>
      <c r="E60" s="88">
        <v>0</v>
      </c>
      <c r="F60" s="88">
        <v>0</v>
      </c>
      <c r="G60" s="88">
        <v>0</v>
      </c>
      <c r="H60" s="5">
        <v>0</v>
      </c>
      <c r="I60" s="5">
        <v>0</v>
      </c>
      <c r="J60" s="3">
        <f t="shared" si="3"/>
        <v>0</v>
      </c>
      <c r="K60" s="3">
        <f t="shared" si="4"/>
        <v>0</v>
      </c>
      <c r="L60" s="3">
        <f t="shared" si="5"/>
        <v>0</v>
      </c>
      <c r="M60" s="3">
        <f>I60-G60</f>
        <v>0</v>
      </c>
      <c r="N60" s="45">
        <f t="shared" si="11"/>
      </c>
      <c r="O60" s="42">
        <f t="shared" si="9"/>
      </c>
      <c r="P60" s="42">
        <f t="shared" si="10"/>
      </c>
    </row>
    <row r="61" spans="1:16" ht="15.75">
      <c r="A61" s="161"/>
      <c r="B61" s="161"/>
      <c r="C61" s="56" t="s">
        <v>9</v>
      </c>
      <c r="D61" s="29">
        <f>SUM(D58:D60)</f>
        <v>24062.12</v>
      </c>
      <c r="E61" s="96">
        <f>SUM(E58:E60)</f>
        <v>54298.2</v>
      </c>
      <c r="F61" s="96">
        <f>SUM(F58:F60)</f>
        <v>21200</v>
      </c>
      <c r="G61" s="96">
        <f>SUM(G58:G60)</f>
        <v>4200</v>
      </c>
      <c r="H61" s="126">
        <f>SUM(H58:H60)</f>
        <v>25471.94</v>
      </c>
      <c r="I61" s="126">
        <f>SUM(I58:I60)</f>
        <v>5360.98</v>
      </c>
      <c r="J61" s="96">
        <f t="shared" si="3"/>
        <v>1409.8199999999997</v>
      </c>
      <c r="K61" s="96">
        <f t="shared" si="4"/>
        <v>4271.939999999999</v>
      </c>
      <c r="L61" s="96">
        <f t="shared" si="5"/>
        <v>-28826.26</v>
      </c>
      <c r="M61" s="96">
        <f t="shared" si="6"/>
        <v>1160.9799999999996</v>
      </c>
      <c r="N61" s="130">
        <f t="shared" si="11"/>
        <v>1.0585908473567582</v>
      </c>
      <c r="O61" s="124">
        <f t="shared" si="9"/>
        <v>1.2015066037735849</v>
      </c>
      <c r="P61" s="130">
        <f t="shared" si="10"/>
        <v>0.46911205159655384</v>
      </c>
    </row>
    <row r="62" spans="1:16" ht="15.75">
      <c r="A62" s="150" t="s">
        <v>56</v>
      </c>
      <c r="B62" s="135" t="s">
        <v>57</v>
      </c>
      <c r="C62" s="7" t="s">
        <v>58</v>
      </c>
      <c r="D62" s="38">
        <v>2521.8599999999997</v>
      </c>
      <c r="E62" s="89">
        <v>7767.5</v>
      </c>
      <c r="F62" s="89">
        <v>3663.5</v>
      </c>
      <c r="G62" s="89">
        <v>54.8</v>
      </c>
      <c r="H62" s="89">
        <v>6567.72</v>
      </c>
      <c r="I62" s="89">
        <v>-5.049999999999997</v>
      </c>
      <c r="J62" s="89">
        <f t="shared" si="3"/>
        <v>4045.8600000000006</v>
      </c>
      <c r="K62" s="89">
        <f t="shared" si="4"/>
        <v>2904.2200000000003</v>
      </c>
      <c r="L62" s="89">
        <f t="shared" si="5"/>
        <v>-1199.7799999999997</v>
      </c>
      <c r="M62" s="89">
        <f t="shared" si="6"/>
        <v>-59.849999999999994</v>
      </c>
      <c r="N62" s="124">
        <f t="shared" si="11"/>
        <v>2.6043158621017826</v>
      </c>
      <c r="O62" s="124">
        <f t="shared" si="9"/>
        <v>1.79274464310086</v>
      </c>
      <c r="P62" s="124">
        <f t="shared" si="10"/>
        <v>0.8455384615384616</v>
      </c>
    </row>
    <row r="63" spans="1:16" ht="15.75">
      <c r="A63" s="150"/>
      <c r="B63" s="135"/>
      <c r="C63" s="56" t="s">
        <v>9</v>
      </c>
      <c r="D63" s="29">
        <f aca="true" t="shared" si="12" ref="D63:J63">D62</f>
        <v>2521.8599999999997</v>
      </c>
      <c r="E63" s="96">
        <f t="shared" si="12"/>
        <v>7767.5</v>
      </c>
      <c r="F63" s="96">
        <f t="shared" si="12"/>
        <v>3663.5</v>
      </c>
      <c r="G63" s="96">
        <f t="shared" si="12"/>
        <v>54.8</v>
      </c>
      <c r="H63" s="126">
        <f>H62</f>
        <v>6567.72</v>
      </c>
      <c r="I63" s="126">
        <f t="shared" si="12"/>
        <v>-5.049999999999997</v>
      </c>
      <c r="J63" s="131">
        <f t="shared" si="12"/>
        <v>4045.8600000000006</v>
      </c>
      <c r="K63" s="131">
        <f t="shared" si="4"/>
        <v>2904.2200000000003</v>
      </c>
      <c r="L63" s="131">
        <f t="shared" si="5"/>
        <v>-1199.7799999999997</v>
      </c>
      <c r="M63" s="131">
        <f t="shared" si="6"/>
        <v>-59.849999999999994</v>
      </c>
      <c r="N63" s="130">
        <f t="shared" si="11"/>
        <v>2.6043158621017826</v>
      </c>
      <c r="O63" s="130">
        <f t="shared" si="9"/>
        <v>1.79274464310086</v>
      </c>
      <c r="P63" s="130">
        <f t="shared" si="10"/>
        <v>0.8455384615384616</v>
      </c>
    </row>
    <row r="64" spans="1:16" ht="15.75" hidden="1">
      <c r="A64" s="175" t="s">
        <v>59</v>
      </c>
      <c r="B64" s="173" t="s">
        <v>60</v>
      </c>
      <c r="C64" s="81" t="s">
        <v>55</v>
      </c>
      <c r="D64" s="37"/>
      <c r="E64" s="89"/>
      <c r="F64" s="89"/>
      <c r="G64" s="89"/>
      <c r="H64" s="5">
        <v>0</v>
      </c>
      <c r="I64" s="5">
        <v>0</v>
      </c>
      <c r="J64" s="5">
        <f aca="true" t="shared" si="13" ref="J64:J88">H64-D64</f>
        <v>0</v>
      </c>
      <c r="K64" s="5">
        <f t="shared" si="4"/>
        <v>0</v>
      </c>
      <c r="L64" s="5">
        <f t="shared" si="5"/>
        <v>0</v>
      </c>
      <c r="M64" s="5">
        <f t="shared" si="6"/>
        <v>0</v>
      </c>
      <c r="N64" s="45">
        <f t="shared" si="11"/>
      </c>
      <c r="O64" s="45">
        <f t="shared" si="9"/>
      </c>
      <c r="P64" s="45">
        <f t="shared" si="10"/>
      </c>
    </row>
    <row r="65" spans="1:16" ht="15.75" hidden="1">
      <c r="A65" s="176"/>
      <c r="B65" s="174"/>
      <c r="C65" s="82" t="s">
        <v>9</v>
      </c>
      <c r="D65" s="29">
        <v>0</v>
      </c>
      <c r="E65" s="99">
        <f>E64</f>
        <v>0</v>
      </c>
      <c r="F65" s="99">
        <f>G65</f>
        <v>0</v>
      </c>
      <c r="G65" s="99">
        <f>G64</f>
        <v>0</v>
      </c>
      <c r="H65" s="118">
        <v>0</v>
      </c>
      <c r="I65" s="123">
        <v>0</v>
      </c>
      <c r="J65" s="74">
        <f t="shared" si="13"/>
        <v>0</v>
      </c>
      <c r="K65" s="74">
        <f t="shared" si="4"/>
        <v>0</v>
      </c>
      <c r="L65" s="74">
        <f t="shared" si="5"/>
        <v>0</v>
      </c>
      <c r="M65" s="74">
        <f t="shared" si="6"/>
        <v>0</v>
      </c>
      <c r="N65" s="45">
        <f t="shared" si="11"/>
      </c>
      <c r="O65" s="45">
        <f t="shared" si="9"/>
      </c>
      <c r="P65" s="45">
        <f t="shared" si="10"/>
      </c>
    </row>
    <row r="66" spans="1:16" ht="15.75">
      <c r="A66" s="135"/>
      <c r="B66" s="135" t="s">
        <v>61</v>
      </c>
      <c r="C66" s="10" t="s">
        <v>62</v>
      </c>
      <c r="D66" s="38">
        <v>472.57</v>
      </c>
      <c r="E66" s="89">
        <v>41.2</v>
      </c>
      <c r="F66" s="89">
        <v>41.2</v>
      </c>
      <c r="G66" s="89">
        <v>5.6</v>
      </c>
      <c r="H66" s="116">
        <v>83.07</v>
      </c>
      <c r="I66" s="116">
        <v>10.61</v>
      </c>
      <c r="J66" s="89">
        <f t="shared" si="13"/>
        <v>-389.5</v>
      </c>
      <c r="K66" s="89">
        <f t="shared" si="4"/>
        <v>41.86999999999999</v>
      </c>
      <c r="L66" s="89">
        <f t="shared" si="5"/>
        <v>41.86999999999999</v>
      </c>
      <c r="M66" s="89">
        <f t="shared" si="6"/>
        <v>5.01</v>
      </c>
      <c r="N66" s="124">
        <f t="shared" si="11"/>
        <v>0.17578348181221828</v>
      </c>
      <c r="O66" s="124">
        <f t="shared" si="9"/>
        <v>2.0162621359223296</v>
      </c>
      <c r="P66" s="124">
        <f t="shared" si="10"/>
        <v>2.0162621359223296</v>
      </c>
    </row>
    <row r="67" spans="1:16" ht="15.75">
      <c r="A67" s="156"/>
      <c r="B67" s="156"/>
      <c r="C67" s="7" t="s">
        <v>98</v>
      </c>
      <c r="D67" s="17">
        <v>24.46</v>
      </c>
      <c r="E67" s="110">
        <v>47.1</v>
      </c>
      <c r="F67" s="110">
        <v>47.1</v>
      </c>
      <c r="G67" s="110">
        <v>0</v>
      </c>
      <c r="H67" s="89">
        <v>272.04</v>
      </c>
      <c r="I67" s="89">
        <v>217.13</v>
      </c>
      <c r="J67" s="110">
        <f t="shared" si="13"/>
        <v>247.58</v>
      </c>
      <c r="K67" s="110">
        <f t="shared" si="4"/>
        <v>224.94000000000003</v>
      </c>
      <c r="L67" s="110">
        <f t="shared" si="5"/>
        <v>224.94000000000003</v>
      </c>
      <c r="M67" s="110">
        <f t="shared" si="6"/>
        <v>217.13</v>
      </c>
      <c r="N67" s="124">
        <f t="shared" si="11"/>
        <v>11.121831561733442</v>
      </c>
      <c r="O67" s="124">
        <f t="shared" si="9"/>
        <v>5.775796178343949</v>
      </c>
      <c r="P67" s="124">
        <f t="shared" si="10"/>
        <v>5.775796178343949</v>
      </c>
    </row>
    <row r="68" spans="1:16" ht="15.75">
      <c r="A68" s="135"/>
      <c r="B68" s="135"/>
      <c r="C68" s="7" t="s">
        <v>28</v>
      </c>
      <c r="D68" s="38">
        <v>9531</v>
      </c>
      <c r="E68" s="89">
        <f>6100+1287.5</f>
        <v>7387.5</v>
      </c>
      <c r="F68" s="89">
        <f>6100+1287.5</f>
        <v>7387.5</v>
      </c>
      <c r="G68" s="89">
        <v>1287.5</v>
      </c>
      <c r="H68" s="89">
        <v>7387.5</v>
      </c>
      <c r="I68" s="89">
        <v>0</v>
      </c>
      <c r="J68" s="89">
        <f t="shared" si="13"/>
        <v>-2143.5</v>
      </c>
      <c r="K68" s="89">
        <f t="shared" si="4"/>
        <v>0</v>
      </c>
      <c r="L68" s="89">
        <f t="shared" si="5"/>
        <v>0</v>
      </c>
      <c r="M68" s="89">
        <f t="shared" si="6"/>
        <v>-1287.5</v>
      </c>
      <c r="N68" s="124">
        <f t="shared" si="11"/>
        <v>0.7751022977651872</v>
      </c>
      <c r="O68" s="124">
        <f t="shared" si="9"/>
        <v>1</v>
      </c>
      <c r="P68" s="124">
        <f t="shared" si="10"/>
        <v>1</v>
      </c>
    </row>
    <row r="69" spans="1:16" ht="31.5">
      <c r="A69" s="135"/>
      <c r="B69" s="135"/>
      <c r="C69" s="7" t="s">
        <v>49</v>
      </c>
      <c r="D69" s="38">
        <v>10917.70000000041</v>
      </c>
      <c r="E69" s="88">
        <v>680.5</v>
      </c>
      <c r="F69" s="88">
        <v>270</v>
      </c>
      <c r="G69" s="88">
        <v>60</v>
      </c>
      <c r="H69" s="89">
        <v>26897.640000000567</v>
      </c>
      <c r="I69" s="89">
        <v>5625.260000000079</v>
      </c>
      <c r="J69" s="88">
        <f t="shared" si="13"/>
        <v>15979.940000000157</v>
      </c>
      <c r="K69" s="88">
        <f t="shared" si="4"/>
        <v>26627.640000000567</v>
      </c>
      <c r="L69" s="88">
        <f t="shared" si="5"/>
        <v>26217.140000000567</v>
      </c>
      <c r="M69" s="88">
        <f t="shared" si="6"/>
        <v>5565.260000000079</v>
      </c>
      <c r="N69" s="124">
        <f t="shared" si="11"/>
        <v>2.463672751586832</v>
      </c>
      <c r="O69" s="124">
        <f t="shared" si="9"/>
        <v>99.62088888889099</v>
      </c>
      <c r="P69" s="124">
        <f t="shared" si="10"/>
        <v>39.52628949302067</v>
      </c>
    </row>
    <row r="70" spans="1:16" ht="15.75">
      <c r="A70" s="135"/>
      <c r="B70" s="135"/>
      <c r="C70" s="7" t="s">
        <v>51</v>
      </c>
      <c r="D70" s="37">
        <v>40249.89</v>
      </c>
      <c r="E70" s="88">
        <f>86939.9+8662.9-14007.9</f>
        <v>81594.9</v>
      </c>
      <c r="F70" s="88">
        <f>32615.7-2731.9</f>
        <v>29883.8</v>
      </c>
      <c r="G70" s="88">
        <v>6540.5</v>
      </c>
      <c r="H70" s="89">
        <v>38524.899999999994</v>
      </c>
      <c r="I70" s="89">
        <f>9185.06</f>
        <v>9185.06</v>
      </c>
      <c r="J70" s="3">
        <f t="shared" si="13"/>
        <v>-1724.9900000000052</v>
      </c>
      <c r="K70" s="3">
        <f t="shared" si="4"/>
        <v>8641.099999999995</v>
      </c>
      <c r="L70" s="3">
        <f t="shared" si="5"/>
        <v>-43070</v>
      </c>
      <c r="M70" s="3">
        <f t="shared" si="6"/>
        <v>2644.5599999999995</v>
      </c>
      <c r="N70" s="42">
        <f t="shared" si="11"/>
        <v>0.95714298846531</v>
      </c>
      <c r="O70" s="42">
        <f t="shared" si="9"/>
        <v>1.289156666822827</v>
      </c>
      <c r="P70" s="42">
        <f t="shared" si="10"/>
        <v>0.4721483818228835</v>
      </c>
    </row>
    <row r="71" spans="1:16" ht="15.75">
      <c r="A71" s="135"/>
      <c r="B71" s="135"/>
      <c r="C71" s="7" t="s">
        <v>63</v>
      </c>
      <c r="D71" s="37">
        <v>29.31</v>
      </c>
      <c r="E71" s="88"/>
      <c r="F71" s="88"/>
      <c r="G71" s="88"/>
      <c r="H71" s="89">
        <v>-6037.539999999999</v>
      </c>
      <c r="I71" s="89">
        <v>-181.96999999999997</v>
      </c>
      <c r="J71" s="3">
        <f t="shared" si="13"/>
        <v>-6066.849999999999</v>
      </c>
      <c r="K71" s="3">
        <f t="shared" si="4"/>
        <v>-6037.539999999999</v>
      </c>
      <c r="L71" s="3">
        <f t="shared" si="5"/>
        <v>-6037.539999999999</v>
      </c>
      <c r="M71" s="3">
        <f t="shared" si="6"/>
        <v>-181.96999999999997</v>
      </c>
      <c r="N71" s="42">
        <f t="shared" si="11"/>
        <v>-205.98908222449674</v>
      </c>
      <c r="O71" s="42">
        <f aca="true" t="shared" si="14" ref="O71:O88">_xlfn.IFERROR(H71/F71,"")</f>
      </c>
      <c r="P71" s="42">
        <f aca="true" t="shared" si="15" ref="P71:P88">_xlfn.IFERROR(H71/E71,"")</f>
      </c>
    </row>
    <row r="72" spans="1:16" ht="15.75">
      <c r="A72" s="135"/>
      <c r="B72" s="135"/>
      <c r="C72" s="7" t="s">
        <v>40</v>
      </c>
      <c r="D72" s="37">
        <f>8756.22+55.33</f>
        <v>8811.55</v>
      </c>
      <c r="E72" s="88">
        <v>16333.1</v>
      </c>
      <c r="F72" s="88">
        <v>2900</v>
      </c>
      <c r="G72" s="88">
        <v>950</v>
      </c>
      <c r="H72" s="89">
        <f>14324.17+319.62-61.97</f>
        <v>14581.820000000002</v>
      </c>
      <c r="I72" s="89">
        <f>1635.75-61.97+126.38-5</f>
        <v>1695.1599999999999</v>
      </c>
      <c r="J72" s="3">
        <f t="shared" si="13"/>
        <v>5770.270000000002</v>
      </c>
      <c r="K72" s="3">
        <f aca="true" t="shared" si="16" ref="K72:K88">H72-F72</f>
        <v>11681.820000000002</v>
      </c>
      <c r="L72" s="3">
        <f aca="true" t="shared" si="17" ref="L72:L88">H72-E72</f>
        <v>-1751.2799999999988</v>
      </c>
      <c r="M72" s="3">
        <f aca="true" t="shared" si="18" ref="M72:M87">I72-G72</f>
        <v>745.1599999999999</v>
      </c>
      <c r="N72" s="42">
        <f t="shared" si="11"/>
        <v>1.654853005430373</v>
      </c>
      <c r="O72" s="42">
        <f t="shared" si="14"/>
        <v>5.028213793103449</v>
      </c>
      <c r="P72" s="42">
        <f t="shared" si="15"/>
        <v>0.8927772437565435</v>
      </c>
    </row>
    <row r="73" spans="1:16" ht="15.75">
      <c r="A73" s="179"/>
      <c r="B73" s="179"/>
      <c r="C73" s="7" t="s">
        <v>100</v>
      </c>
      <c r="D73" s="37">
        <v>2146.93</v>
      </c>
      <c r="E73" s="88">
        <v>0</v>
      </c>
      <c r="F73" s="88">
        <f>G73</f>
        <v>0</v>
      </c>
      <c r="G73" s="88">
        <v>0</v>
      </c>
      <c r="H73" s="89">
        <v>795.93</v>
      </c>
      <c r="I73" s="89">
        <v>0</v>
      </c>
      <c r="J73" s="3">
        <f t="shared" si="13"/>
        <v>-1351</v>
      </c>
      <c r="K73" s="3">
        <f t="shared" si="16"/>
        <v>795.93</v>
      </c>
      <c r="L73" s="3">
        <f t="shared" si="17"/>
        <v>795.93</v>
      </c>
      <c r="M73" s="3">
        <f t="shared" si="18"/>
        <v>0</v>
      </c>
      <c r="N73" s="42">
        <f t="shared" si="11"/>
        <v>0.3707293670496942</v>
      </c>
      <c r="O73" s="42">
        <f t="shared" si="14"/>
      </c>
      <c r="P73" s="42">
        <f t="shared" si="15"/>
      </c>
    </row>
    <row r="74" spans="1:16" ht="15.75">
      <c r="A74" s="135"/>
      <c r="B74" s="135"/>
      <c r="C74" s="56" t="s">
        <v>64</v>
      </c>
      <c r="D74" s="29">
        <f>SUM(D66:D73)</f>
        <v>72183.4100000004</v>
      </c>
      <c r="E74" s="96">
        <f>SUM(E66:E73)</f>
        <v>106084.3</v>
      </c>
      <c r="F74" s="96">
        <f>SUM(F66:F73)</f>
        <v>40529.6</v>
      </c>
      <c r="G74" s="96">
        <f>SUM(G66:G73)</f>
        <v>8843.6</v>
      </c>
      <c r="H74" s="126">
        <f>SUM(H66:H73)</f>
        <v>82505.36000000057</v>
      </c>
      <c r="I74" s="126">
        <f>SUM(I66:I73)</f>
        <v>16551.25000000008</v>
      </c>
      <c r="J74" s="61">
        <f t="shared" si="13"/>
        <v>10321.950000000172</v>
      </c>
      <c r="K74" s="61">
        <f t="shared" si="16"/>
        <v>41975.76000000057</v>
      </c>
      <c r="L74" s="61">
        <f t="shared" si="17"/>
        <v>-23578.939999999435</v>
      </c>
      <c r="M74" s="61">
        <f t="shared" si="18"/>
        <v>7707.65000000008</v>
      </c>
      <c r="N74" s="55">
        <f t="shared" si="11"/>
        <v>1.142996153825375</v>
      </c>
      <c r="O74" s="55">
        <f t="shared" si="14"/>
        <v>2.03568157593464</v>
      </c>
      <c r="P74" s="55">
        <f t="shared" si="15"/>
        <v>0.7777339342390963</v>
      </c>
    </row>
    <row r="75" spans="1:19" ht="25.5" customHeight="1">
      <c r="A75" s="180" t="s">
        <v>65</v>
      </c>
      <c r="B75" s="180"/>
      <c r="C75" s="180"/>
      <c r="D75" s="132">
        <f>D5+D22</f>
        <v>8003647.09</v>
      </c>
      <c r="E75" s="132">
        <f>E5+E22</f>
        <v>26570797.880000003</v>
      </c>
      <c r="F75" s="132">
        <f>F5+F22</f>
        <v>9253019.55</v>
      </c>
      <c r="G75" s="132">
        <f>G5+G22</f>
        <v>3791823.48</v>
      </c>
      <c r="H75" s="121">
        <f>H5+H22</f>
        <v>8760247.13</v>
      </c>
      <c r="I75" s="121">
        <f>I5+I22</f>
        <v>1754515.3400000003</v>
      </c>
      <c r="J75" s="133">
        <f t="shared" si="13"/>
        <v>756600.040000001</v>
      </c>
      <c r="K75" s="133">
        <f t="shared" si="16"/>
        <v>-492772.4199999999</v>
      </c>
      <c r="L75" s="133">
        <f t="shared" si="17"/>
        <v>-17810550.75</v>
      </c>
      <c r="M75" s="133">
        <f t="shared" si="18"/>
        <v>-2037308.1399999997</v>
      </c>
      <c r="N75" s="134">
        <f t="shared" si="11"/>
        <v>1.0945319092024084</v>
      </c>
      <c r="O75" s="134">
        <f t="shared" si="14"/>
        <v>0.9467446904940344</v>
      </c>
      <c r="P75" s="63">
        <f t="shared" si="15"/>
        <v>0.3296945454767051</v>
      </c>
      <c r="R75" s="66"/>
      <c r="S75" s="75"/>
    </row>
    <row r="76" spans="1:16" ht="15.75" hidden="1">
      <c r="A76" s="181" t="s">
        <v>81</v>
      </c>
      <c r="B76" s="182"/>
      <c r="C76" s="183"/>
      <c r="D76" s="62">
        <v>3770698.64</v>
      </c>
      <c r="E76" s="62">
        <f>E75-E55-E53-E54</f>
        <v>21688207.700000003</v>
      </c>
      <c r="F76" s="62">
        <f>G76</f>
        <v>3272298.98</v>
      </c>
      <c r="G76" s="62">
        <f>G75-G55-G53-G54</f>
        <v>3272298.98</v>
      </c>
      <c r="H76" s="121">
        <v>5643854.95</v>
      </c>
      <c r="I76" s="121">
        <v>167727.22000000018</v>
      </c>
      <c r="J76" s="62">
        <f t="shared" si="13"/>
        <v>1873156.31</v>
      </c>
      <c r="K76" s="62">
        <f t="shared" si="16"/>
        <v>2371555.97</v>
      </c>
      <c r="L76" s="62">
        <f t="shared" si="17"/>
        <v>-16044352.750000004</v>
      </c>
      <c r="M76" s="62">
        <f t="shared" si="18"/>
        <v>-3104571.76</v>
      </c>
      <c r="N76" s="76">
        <f t="shared" si="11"/>
        <v>1.4967663790814107</v>
      </c>
      <c r="O76" s="76">
        <f t="shared" si="14"/>
        <v>1.7247369462554427</v>
      </c>
      <c r="P76" s="76">
        <f t="shared" si="15"/>
        <v>0.2602268950974681</v>
      </c>
    </row>
    <row r="77" spans="1:16" ht="33" customHeight="1">
      <c r="A77" s="184"/>
      <c r="B77" s="164"/>
      <c r="C77" s="49" t="s">
        <v>66</v>
      </c>
      <c r="D77" s="83">
        <f>SUM(D78:D86)</f>
        <v>7369802.7</v>
      </c>
      <c r="E77" s="92">
        <f aca="true" t="shared" si="19" ref="E77:J77">SUM(E78:E86)</f>
        <v>28028970.470000003</v>
      </c>
      <c r="F77" s="92">
        <f t="shared" si="19"/>
        <v>8533094.2</v>
      </c>
      <c r="G77" s="92">
        <f t="shared" si="19"/>
        <v>2335410.88</v>
      </c>
      <c r="H77" s="92">
        <f t="shared" si="19"/>
        <v>8577207.8</v>
      </c>
      <c r="I77" s="92">
        <f>SUM(I78:I86)</f>
        <v>2500859.1299999994</v>
      </c>
      <c r="J77" s="47">
        <f t="shared" si="19"/>
        <v>1207405.0999999992</v>
      </c>
      <c r="K77" s="50">
        <f t="shared" si="16"/>
        <v>44113.60000000149</v>
      </c>
      <c r="L77" s="50">
        <f t="shared" si="17"/>
        <v>-19451762.67</v>
      </c>
      <c r="M77" s="50">
        <f t="shared" si="18"/>
        <v>165448.24999999953</v>
      </c>
      <c r="N77" s="51">
        <f t="shared" si="11"/>
        <v>1.1638314008053432</v>
      </c>
      <c r="O77" s="51">
        <f t="shared" si="14"/>
        <v>1.0051697073729717</v>
      </c>
      <c r="P77" s="51">
        <f t="shared" si="15"/>
        <v>0.30601223149385265</v>
      </c>
    </row>
    <row r="78" spans="1:16" ht="31.5">
      <c r="A78" s="184"/>
      <c r="B78" s="164"/>
      <c r="C78" s="18" t="s">
        <v>67</v>
      </c>
      <c r="D78" s="37">
        <v>539943.4</v>
      </c>
      <c r="E78" s="88">
        <v>384548</v>
      </c>
      <c r="F78" s="88">
        <v>320133.9</v>
      </c>
      <c r="G78" s="88">
        <v>31556</v>
      </c>
      <c r="H78" s="88">
        <v>326643.7</v>
      </c>
      <c r="I78" s="88">
        <v>38065.8</v>
      </c>
      <c r="J78" s="3">
        <f aca="true" t="shared" si="20" ref="J78:J84">H78-D78</f>
        <v>-213299.7</v>
      </c>
      <c r="K78" s="3">
        <f>H78-F78</f>
        <v>6509.799999999988</v>
      </c>
      <c r="L78" s="3">
        <f>H78-E78</f>
        <v>-57904.29999999999</v>
      </c>
      <c r="M78" s="3">
        <f>I78-G78</f>
        <v>6509.800000000003</v>
      </c>
      <c r="N78" s="43">
        <f t="shared" si="11"/>
        <v>0.6049591494219579</v>
      </c>
      <c r="O78" s="43">
        <f t="shared" si="14"/>
        <v>1.0203346162340194</v>
      </c>
      <c r="P78" s="43">
        <f t="shared" si="15"/>
        <v>0.8494224388112798</v>
      </c>
    </row>
    <row r="79" spans="1:16" ht="15.75">
      <c r="A79" s="184"/>
      <c r="B79" s="164"/>
      <c r="C79" s="19" t="s">
        <v>68</v>
      </c>
      <c r="D79" s="37">
        <v>1000995.93</v>
      </c>
      <c r="E79" s="88">
        <v>9844322.1</v>
      </c>
      <c r="F79" s="88">
        <v>1470842.6</v>
      </c>
      <c r="G79" s="91">
        <v>434964.56</v>
      </c>
      <c r="H79" s="91">
        <v>1470838.0099999998</v>
      </c>
      <c r="I79" s="91">
        <v>434964.56</v>
      </c>
      <c r="J79" s="3">
        <f t="shared" si="20"/>
        <v>469842.0799999997</v>
      </c>
      <c r="K79" s="88">
        <f>H79-F79</f>
        <v>-4.59000000031665</v>
      </c>
      <c r="L79" s="88">
        <f>H79-E79</f>
        <v>-8373484.09</v>
      </c>
      <c r="M79" s="88">
        <f>I79-G79</f>
        <v>0</v>
      </c>
      <c r="N79" s="43">
        <f t="shared" si="11"/>
        <v>1.469374615738947</v>
      </c>
      <c r="O79" s="43">
        <f t="shared" si="14"/>
        <v>0.9999968793397741</v>
      </c>
      <c r="P79" s="43">
        <f t="shared" si="15"/>
        <v>0.14940978109604924</v>
      </c>
    </row>
    <row r="80" spans="1:16" ht="15.75">
      <c r="A80" s="184"/>
      <c r="B80" s="164"/>
      <c r="C80" s="19" t="s">
        <v>69</v>
      </c>
      <c r="D80" s="37">
        <v>4498457.74</v>
      </c>
      <c r="E80" s="88">
        <v>12307705.31</v>
      </c>
      <c r="F80" s="88">
        <v>4557363.52</v>
      </c>
      <c r="G80" s="91">
        <v>1374239.15</v>
      </c>
      <c r="H80" s="91">
        <v>4557363.56</v>
      </c>
      <c r="I80" s="91">
        <v>1374239.15</v>
      </c>
      <c r="J80" s="3">
        <f t="shared" si="20"/>
        <v>58905.81999999937</v>
      </c>
      <c r="K80" s="88">
        <f>H80-F80</f>
        <v>0.0400000000372529</v>
      </c>
      <c r="L80" s="88">
        <f t="shared" si="17"/>
        <v>-7750341.750000001</v>
      </c>
      <c r="M80" s="88">
        <f>I80-G80</f>
        <v>0</v>
      </c>
      <c r="N80" s="43">
        <f t="shared" si="11"/>
        <v>1.0130946700857524</v>
      </c>
      <c r="O80" s="43">
        <f t="shared" si="14"/>
        <v>1.0000000087770045</v>
      </c>
      <c r="P80" s="43">
        <f t="shared" si="15"/>
        <v>0.37028539806661975</v>
      </c>
    </row>
    <row r="81" spans="1:16" ht="15.75">
      <c r="A81" s="184"/>
      <c r="B81" s="164"/>
      <c r="C81" s="9" t="s">
        <v>70</v>
      </c>
      <c r="D81" s="37">
        <v>1310763.39</v>
      </c>
      <c r="E81" s="88">
        <v>5484388.1899999995</v>
      </c>
      <c r="F81" s="88">
        <v>2176747.31</v>
      </c>
      <c r="G81" s="88">
        <v>494651.17</v>
      </c>
      <c r="H81" s="88">
        <v>2176709.8</v>
      </c>
      <c r="I81" s="88">
        <v>494651.17</v>
      </c>
      <c r="J81" s="3">
        <f t="shared" si="20"/>
        <v>865946.4099999999</v>
      </c>
      <c r="K81" s="88">
        <f>H81-F81</f>
        <v>-37.510000000242144</v>
      </c>
      <c r="L81" s="88">
        <f t="shared" si="17"/>
        <v>-3307678.3899999997</v>
      </c>
      <c r="M81" s="88">
        <f t="shared" si="18"/>
        <v>0</v>
      </c>
      <c r="N81" s="43">
        <f t="shared" si="11"/>
        <v>1.6606428105990967</v>
      </c>
      <c r="O81" s="43">
        <f t="shared" si="14"/>
        <v>0.9999827678666109</v>
      </c>
      <c r="P81" s="43">
        <f t="shared" si="15"/>
        <v>0.3968920004548402</v>
      </c>
    </row>
    <row r="82" spans="1:16" ht="31.5">
      <c r="A82" s="185"/>
      <c r="B82" s="187"/>
      <c r="C82" s="9" t="s">
        <v>87</v>
      </c>
      <c r="D82" s="37">
        <v>4.06</v>
      </c>
      <c r="E82" s="88">
        <v>0</v>
      </c>
      <c r="F82" s="88">
        <v>0</v>
      </c>
      <c r="G82" s="88">
        <v>0</v>
      </c>
      <c r="H82" s="88">
        <v>387.9</v>
      </c>
      <c r="I82" s="88">
        <v>0</v>
      </c>
      <c r="J82" s="3">
        <f t="shared" si="20"/>
        <v>383.84</v>
      </c>
      <c r="K82" s="3">
        <f>H82-F82</f>
        <v>387.9</v>
      </c>
      <c r="L82" s="3">
        <f t="shared" si="17"/>
        <v>387.9</v>
      </c>
      <c r="M82" s="3">
        <f t="shared" si="18"/>
        <v>0</v>
      </c>
      <c r="N82" s="44">
        <f t="shared" si="11"/>
        <v>95.54187192118226</v>
      </c>
      <c r="O82" s="44">
        <f t="shared" si="14"/>
      </c>
      <c r="P82" s="44">
        <f t="shared" si="15"/>
      </c>
    </row>
    <row r="83" spans="1:16" ht="29.25" customHeight="1">
      <c r="A83" s="184"/>
      <c r="B83" s="164"/>
      <c r="C83" s="32" t="s">
        <v>71</v>
      </c>
      <c r="D83" s="37">
        <v>33813.61</v>
      </c>
      <c r="E83" s="88">
        <v>0</v>
      </c>
      <c r="F83" s="88">
        <v>0</v>
      </c>
      <c r="G83" s="88">
        <v>0</v>
      </c>
      <c r="H83" s="88">
        <v>158920.09</v>
      </c>
      <c r="I83" s="88">
        <v>158920.09</v>
      </c>
      <c r="J83" s="3">
        <f t="shared" si="20"/>
        <v>125106.48</v>
      </c>
      <c r="K83" s="3">
        <f>H83-F83</f>
        <v>158920.09</v>
      </c>
      <c r="L83" s="3">
        <f>H83-E83</f>
        <v>158920.09</v>
      </c>
      <c r="M83" s="3">
        <f t="shared" si="18"/>
        <v>158920.09</v>
      </c>
      <c r="N83" s="43">
        <f t="shared" si="11"/>
        <v>4.69988534202648</v>
      </c>
      <c r="O83" s="43">
        <f t="shared" si="14"/>
      </c>
      <c r="P83" s="43">
        <f t="shared" si="15"/>
      </c>
    </row>
    <row r="84" spans="1:17" s="78" customFormat="1" ht="70.5" customHeight="1" hidden="1">
      <c r="A84" s="186"/>
      <c r="B84" s="188"/>
      <c r="C84" s="101" t="s">
        <v>89</v>
      </c>
      <c r="D84" s="102"/>
      <c r="E84" s="103"/>
      <c r="F84" s="103"/>
      <c r="G84" s="103"/>
      <c r="H84" s="103">
        <v>0</v>
      </c>
      <c r="I84" s="103">
        <v>0</v>
      </c>
      <c r="J84" s="104">
        <f t="shared" si="20"/>
        <v>0</v>
      </c>
      <c r="K84" s="104">
        <f>H84-F84</f>
        <v>0</v>
      </c>
      <c r="L84" s="104">
        <f>H84-E84</f>
        <v>0</v>
      </c>
      <c r="M84" s="104">
        <f t="shared" si="18"/>
        <v>0</v>
      </c>
      <c r="N84" s="105">
        <f t="shared" si="11"/>
      </c>
      <c r="O84" s="105">
        <f t="shared" si="14"/>
      </c>
      <c r="P84" s="105">
        <f t="shared" si="15"/>
      </c>
      <c r="Q84" s="77"/>
    </row>
    <row r="85" spans="1:16" ht="31.5">
      <c r="A85" s="184"/>
      <c r="B85" s="164"/>
      <c r="C85" s="7" t="s">
        <v>72</v>
      </c>
      <c r="D85" s="37">
        <v>322697.96</v>
      </c>
      <c r="E85" s="89">
        <v>8006.87</v>
      </c>
      <c r="F85" s="89">
        <v>8006.87</v>
      </c>
      <c r="G85" s="89">
        <v>0</v>
      </c>
      <c r="H85" s="89">
        <v>159807.43000000002</v>
      </c>
      <c r="I85" s="89">
        <v>30</v>
      </c>
      <c r="J85" s="3">
        <f t="shared" si="13"/>
        <v>-162890.53</v>
      </c>
      <c r="K85" s="3">
        <f t="shared" si="16"/>
        <v>151800.56000000003</v>
      </c>
      <c r="L85" s="3">
        <f t="shared" si="17"/>
        <v>151800.56000000003</v>
      </c>
      <c r="M85" s="3">
        <f t="shared" si="18"/>
        <v>30</v>
      </c>
      <c r="N85" s="43">
        <f t="shared" si="11"/>
        <v>0.49522293230487113</v>
      </c>
      <c r="O85" s="43">
        <f t="shared" si="14"/>
        <v>19.958789139826177</v>
      </c>
      <c r="P85" s="43">
        <f t="shared" si="15"/>
        <v>19.958789139826177</v>
      </c>
    </row>
    <row r="86" spans="1:16" ht="15.75">
      <c r="A86" s="184"/>
      <c r="B86" s="164"/>
      <c r="C86" s="7" t="s">
        <v>73</v>
      </c>
      <c r="D86" s="37">
        <v>-336873.39</v>
      </c>
      <c r="E86" s="3">
        <v>0</v>
      </c>
      <c r="F86" s="3">
        <v>0</v>
      </c>
      <c r="G86" s="3">
        <v>0</v>
      </c>
      <c r="H86" s="3">
        <v>-273462.68999999994</v>
      </c>
      <c r="I86" s="3">
        <v>-11.64</v>
      </c>
      <c r="J86" s="3">
        <f t="shared" si="13"/>
        <v>63410.70000000007</v>
      </c>
      <c r="K86" s="3">
        <f t="shared" si="16"/>
        <v>-273462.68999999994</v>
      </c>
      <c r="L86" s="3">
        <f t="shared" si="17"/>
        <v>-273462.68999999994</v>
      </c>
      <c r="M86" s="3">
        <f t="shared" si="18"/>
        <v>-11.64</v>
      </c>
      <c r="N86" s="43">
        <f t="shared" si="11"/>
        <v>0.8117669668120713</v>
      </c>
      <c r="O86" s="43">
        <f t="shared" si="14"/>
      </c>
      <c r="P86" s="43">
        <f t="shared" si="15"/>
      </c>
    </row>
    <row r="87" spans="1:16" ht="29.25" customHeight="1">
      <c r="A87" s="177" t="s">
        <v>74</v>
      </c>
      <c r="B87" s="177"/>
      <c r="C87" s="177"/>
      <c r="D87" s="64">
        <f>D75+D77</f>
        <v>15373449.79</v>
      </c>
      <c r="E87" s="90">
        <f>E75+E77</f>
        <v>54599768.35000001</v>
      </c>
      <c r="F87" s="64">
        <f>F75+F77</f>
        <v>17786113.75</v>
      </c>
      <c r="G87" s="64">
        <f>G75+G77</f>
        <v>6127234.359999999</v>
      </c>
      <c r="H87" s="121">
        <f>H75+H77</f>
        <v>17337454.93</v>
      </c>
      <c r="I87" s="121">
        <f>I75+I77</f>
        <v>4255374.47</v>
      </c>
      <c r="J87" s="64">
        <f>J75+J77</f>
        <v>1964005.1400000001</v>
      </c>
      <c r="K87" s="64">
        <f>K75+K77</f>
        <v>-448658.81999999844</v>
      </c>
      <c r="L87" s="46">
        <f t="shared" si="17"/>
        <v>-37262313.42000001</v>
      </c>
      <c r="M87" s="46">
        <f t="shared" si="18"/>
        <v>-1871859.8899999997</v>
      </c>
      <c r="N87" s="63">
        <f t="shared" si="11"/>
        <v>1.1277530526217694</v>
      </c>
      <c r="O87" s="63">
        <f>_xlfn.IFERROR(H87/F87,"")</f>
        <v>0.9747747694461922</v>
      </c>
      <c r="P87" s="63">
        <f t="shared" si="15"/>
        <v>0.3175371517853701</v>
      </c>
    </row>
    <row r="88" spans="1:16" ht="15.75" hidden="1">
      <c r="A88" s="178" t="s">
        <v>81</v>
      </c>
      <c r="B88" s="178"/>
      <c r="C88" s="178"/>
      <c r="D88" s="46">
        <v>6683833.650000001</v>
      </c>
      <c r="E88" s="46">
        <f>E87-E55-E54-E53</f>
        <v>49717178.17000001</v>
      </c>
      <c r="F88" s="46">
        <f>G88</f>
        <v>5607709.859999999</v>
      </c>
      <c r="G88" s="46">
        <f>G87-G55-G54-G53</f>
        <v>5607709.859999999</v>
      </c>
      <c r="H88" s="119">
        <f>H87-H55-H54-H53</f>
        <v>15378940.49</v>
      </c>
      <c r="I88" s="119">
        <f>I87-I55-I54-I53</f>
        <v>3826464.1399999997</v>
      </c>
      <c r="J88" s="46">
        <f t="shared" si="13"/>
        <v>8695106.84</v>
      </c>
      <c r="K88" s="46">
        <f t="shared" si="16"/>
        <v>9771230.63</v>
      </c>
      <c r="L88" s="46">
        <f t="shared" si="17"/>
        <v>-34338237.68000001</v>
      </c>
      <c r="M88" s="46">
        <f>H88-G88</f>
        <v>9771230.63</v>
      </c>
      <c r="N88" s="76">
        <f>H88/D88</f>
        <v>2.3009161052355034</v>
      </c>
      <c r="O88" s="76">
        <f t="shared" si="14"/>
        <v>2.7424636569909846</v>
      </c>
      <c r="P88" s="44">
        <f t="shared" si="15"/>
        <v>0.30932850688778335</v>
      </c>
    </row>
    <row r="89" spans="1:16" ht="15.75">
      <c r="A89" s="20" t="s">
        <v>75</v>
      </c>
      <c r="B89" s="21"/>
      <c r="C89" s="22"/>
      <c r="D89" s="23"/>
      <c r="E89" s="23"/>
      <c r="F89" s="23"/>
      <c r="G89" s="23"/>
      <c r="H89" s="60"/>
      <c r="I89" s="60"/>
      <c r="J89" s="23"/>
      <c r="K89" s="23"/>
      <c r="L89" s="23"/>
      <c r="M89" s="23"/>
      <c r="N89" s="24"/>
      <c r="O89" s="25"/>
      <c r="P89" s="24"/>
    </row>
    <row r="90" spans="4:9" ht="12.75">
      <c r="D90" s="65"/>
      <c r="H90" s="60"/>
      <c r="I90" s="60"/>
    </row>
    <row r="91" spans="8:9" ht="12.75">
      <c r="H91" s="60"/>
      <c r="I91" s="60"/>
    </row>
    <row r="92" spans="8:9" ht="12.75">
      <c r="H92" s="60"/>
      <c r="I92" s="60"/>
    </row>
    <row r="93" spans="5:9" ht="12.75">
      <c r="E93" s="24"/>
      <c r="F93" s="24"/>
      <c r="G93" s="24"/>
      <c r="H93" s="24"/>
      <c r="I93" s="60"/>
    </row>
    <row r="94" spans="5:9" ht="12.75">
      <c r="E94" s="24"/>
      <c r="F94" s="24"/>
      <c r="G94" s="24"/>
      <c r="H94" s="24"/>
      <c r="I94" s="60"/>
    </row>
    <row r="95" spans="5:9" ht="12.75">
      <c r="E95" s="24"/>
      <c r="F95" s="24"/>
      <c r="G95" s="24"/>
      <c r="H95" s="24"/>
      <c r="I95" s="60"/>
    </row>
    <row r="96" spans="5:9" ht="12.75">
      <c r="E96" s="24"/>
      <c r="F96" s="24"/>
      <c r="G96" s="24"/>
      <c r="H96" s="24"/>
      <c r="I96" s="60"/>
    </row>
    <row r="97" spans="8:9" ht="12.75">
      <c r="H97" s="60"/>
      <c r="I97" s="60"/>
    </row>
    <row r="98" spans="8:9" ht="12.75">
      <c r="H98" s="60"/>
      <c r="I98" s="60"/>
    </row>
    <row r="99" spans="8:9" ht="12.75">
      <c r="H99" s="60"/>
      <c r="I99" s="60"/>
    </row>
    <row r="100" spans="8:9" ht="12.75">
      <c r="H100" s="60"/>
      <c r="I100" s="60"/>
    </row>
    <row r="101" spans="8:9" ht="12.75">
      <c r="H101" s="60"/>
      <c r="I101" s="60"/>
    </row>
    <row r="102" spans="8:9" ht="12.75">
      <c r="H102" s="60"/>
      <c r="I102" s="60"/>
    </row>
  </sheetData>
  <sheetProtection/>
  <autoFilter ref="A4:P90"/>
  <mergeCells count="39">
    <mergeCell ref="B64:B65"/>
    <mergeCell ref="A64:A65"/>
    <mergeCell ref="A87:C87"/>
    <mergeCell ref="A88:C88"/>
    <mergeCell ref="A66:A74"/>
    <mergeCell ref="B66:B74"/>
    <mergeCell ref="A75:C75"/>
    <mergeCell ref="A76:C76"/>
    <mergeCell ref="A77:A86"/>
    <mergeCell ref="B77:B86"/>
    <mergeCell ref="A1:P1"/>
    <mergeCell ref="A3:A4"/>
    <mergeCell ref="B3:B4"/>
    <mergeCell ref="C3:C4"/>
    <mergeCell ref="D3:D4"/>
    <mergeCell ref="E3:G3"/>
    <mergeCell ref="O3:O4"/>
    <mergeCell ref="P3:P4"/>
    <mergeCell ref="A62:A63"/>
    <mergeCell ref="B62:B63"/>
    <mergeCell ref="A30:A37"/>
    <mergeCell ref="B30:B37"/>
    <mergeCell ref="A38:A49"/>
    <mergeCell ref="B38:B49"/>
    <mergeCell ref="A50:A51"/>
    <mergeCell ref="B50:B51"/>
    <mergeCell ref="A52:A57"/>
    <mergeCell ref="B52:B57"/>
    <mergeCell ref="A58:A61"/>
    <mergeCell ref="B58:B61"/>
    <mergeCell ref="A27:A29"/>
    <mergeCell ref="B27:B29"/>
    <mergeCell ref="H3:I3"/>
    <mergeCell ref="J3:M3"/>
    <mergeCell ref="N3:N4"/>
    <mergeCell ref="A23:A26"/>
    <mergeCell ref="B23:B26"/>
    <mergeCell ref="A6:A17"/>
    <mergeCell ref="A22:B22"/>
  </mergeCells>
  <printOptions/>
  <pageMargins left="0" right="0" top="0.74" bottom="0.43" header="0.19" footer="0.31496062992125984"/>
  <pageSetup fitToHeight="2" fitToWidth="1" horizontalDpi="600" verticalDpi="600" orientation="landscape" paperSize="9" scale="56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2023-06-08T04:39:57Z</cp:lastPrinted>
  <dcterms:created xsi:type="dcterms:W3CDTF">2015-02-26T11:08:47Z</dcterms:created>
  <dcterms:modified xsi:type="dcterms:W3CDTF">2023-06-08T05:30:57Z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