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Для сайта\Доходы\"/>
    </mc:Choice>
  </mc:AlternateContent>
  <bookViews>
    <workbookView xWindow="0" yWindow="0" windowWidth="28800" windowHeight="12435" tabRatio="730"/>
  </bookViews>
  <sheets>
    <sheet name="на 01.07.2023" sheetId="366" r:id="rId1"/>
  </sheets>
  <definedNames>
    <definedName name="_xlnm._FilterDatabase" localSheetId="0" hidden="1">'на 01.07.2023'!$A$4:$Q$81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'на 01.07.2023'!$3:$4</definedName>
    <definedName name="о">#REF!</definedName>
    <definedName name="_xlnm.Print_Area" localSheetId="0">'на 01.07.2023'!$A$1:$Q$80</definedName>
    <definedName name="оля">#REF!</definedName>
  </definedNames>
  <calcPr calcId="152511" fullCalcOnLoad="1"/>
</workbook>
</file>

<file path=xl/calcChain.xml><?xml version="1.0" encoding="utf-8"?>
<calcChain xmlns="http://schemas.openxmlformats.org/spreadsheetml/2006/main">
  <c r="I7" i="366" l="1"/>
  <c r="I17" i="366"/>
  <c r="J17" i="366"/>
  <c r="I15" i="366"/>
  <c r="J15" i="366"/>
  <c r="I14" i="366"/>
  <c r="J14" i="366"/>
  <c r="I12" i="366"/>
  <c r="J12" i="366"/>
  <c r="J11" i="366"/>
  <c r="I11" i="366"/>
  <c r="I9" i="366"/>
  <c r="J9" i="366"/>
  <c r="I8" i="366"/>
  <c r="J8" i="366"/>
  <c r="J7" i="366"/>
  <c r="I6" i="366"/>
  <c r="J6" i="366"/>
  <c r="I70" i="366"/>
  <c r="J70" i="366"/>
  <c r="I68" i="366"/>
  <c r="J68" i="366"/>
  <c r="I59" i="366"/>
  <c r="J59" i="366"/>
  <c r="I57" i="366"/>
  <c r="J57" i="366"/>
  <c r="I54" i="366"/>
  <c r="J54" i="366"/>
  <c r="I49" i="366"/>
  <c r="J49" i="366"/>
  <c r="I47" i="366"/>
  <c r="J47" i="366"/>
  <c r="I37" i="366"/>
  <c r="J37" i="366"/>
  <c r="I29" i="366"/>
  <c r="J29" i="366"/>
  <c r="J22" i="366" s="1"/>
  <c r="N22" i="366" s="1"/>
  <c r="I26" i="366"/>
  <c r="J26" i="366"/>
  <c r="I5" i="366"/>
  <c r="J5" i="366"/>
  <c r="I22" i="366"/>
  <c r="I69" i="366"/>
  <c r="I79" i="366" s="1"/>
  <c r="E57" i="366"/>
  <c r="M72" i="366"/>
  <c r="P75" i="366"/>
  <c r="P76" i="366"/>
  <c r="F70" i="366"/>
  <c r="N72" i="366"/>
  <c r="N73" i="366"/>
  <c r="Q56" i="366"/>
  <c r="P56" i="366"/>
  <c r="P46" i="366"/>
  <c r="Q46" i="366"/>
  <c r="O46" i="366"/>
  <c r="O44" i="366"/>
  <c r="O45" i="366"/>
  <c r="N46" i="366"/>
  <c r="L46" i="366"/>
  <c r="M46" i="366"/>
  <c r="N45" i="366"/>
  <c r="F64" i="366"/>
  <c r="F68" i="366" s="1"/>
  <c r="M45" i="366"/>
  <c r="Q45" i="366"/>
  <c r="L45" i="366"/>
  <c r="P45" i="366"/>
  <c r="G47" i="366"/>
  <c r="H47" i="366"/>
  <c r="E47" i="366"/>
  <c r="H49" i="366"/>
  <c r="G17" i="366"/>
  <c r="G5" i="366" s="1"/>
  <c r="H17" i="366"/>
  <c r="H5" i="366"/>
  <c r="H70" i="366"/>
  <c r="L72" i="366"/>
  <c r="E70" i="366"/>
  <c r="E17" i="366"/>
  <c r="E5" i="366" s="1"/>
  <c r="L73" i="366"/>
  <c r="E68" i="366"/>
  <c r="E49" i="366"/>
  <c r="F34" i="366"/>
  <c r="Q34" i="366" s="1"/>
  <c r="O75" i="366"/>
  <c r="E54" i="366"/>
  <c r="E33" i="366"/>
  <c r="E26" i="366"/>
  <c r="E22" i="366" s="1"/>
  <c r="O22" i="366" s="1"/>
  <c r="E29" i="366"/>
  <c r="E59" i="366"/>
  <c r="E37" i="366"/>
  <c r="F36" i="366"/>
  <c r="F25" i="366"/>
  <c r="P52" i="366"/>
  <c r="O52" i="366"/>
  <c r="P23" i="366"/>
  <c r="P6" i="366"/>
  <c r="N6" i="366"/>
  <c r="F23" i="366"/>
  <c r="F40" i="366"/>
  <c r="F39" i="366"/>
  <c r="P71" i="366"/>
  <c r="F6" i="366"/>
  <c r="F47" i="366"/>
  <c r="Q47" i="366" s="1"/>
  <c r="P73" i="366"/>
  <c r="L74" i="366"/>
  <c r="N71" i="366"/>
  <c r="L71" i="366"/>
  <c r="Q78" i="366"/>
  <c r="P78" i="366"/>
  <c r="O78" i="366"/>
  <c r="N78" i="366"/>
  <c r="M78" i="366"/>
  <c r="L78" i="366"/>
  <c r="K78" i="366"/>
  <c r="Q77" i="366"/>
  <c r="P77" i="366"/>
  <c r="O77" i="366"/>
  <c r="N77" i="366"/>
  <c r="M77" i="366"/>
  <c r="L77" i="366"/>
  <c r="K77" i="366"/>
  <c r="Q76" i="366"/>
  <c r="O76" i="366"/>
  <c r="N76" i="366"/>
  <c r="M76" i="366"/>
  <c r="L76" i="366"/>
  <c r="K76" i="366"/>
  <c r="Q75" i="366"/>
  <c r="N75" i="366"/>
  <c r="M75" i="366"/>
  <c r="K75" i="366"/>
  <c r="L75" i="366"/>
  <c r="P74" i="366"/>
  <c r="O74" i="366"/>
  <c r="N74" i="366"/>
  <c r="K74" i="366"/>
  <c r="O73" i="366"/>
  <c r="K73" i="366"/>
  <c r="P72" i="366"/>
  <c r="O72" i="366"/>
  <c r="K72" i="366"/>
  <c r="O71" i="366"/>
  <c r="K71" i="366"/>
  <c r="K70" i="366" s="1"/>
  <c r="H68" i="366"/>
  <c r="Q67" i="366"/>
  <c r="O67" i="366"/>
  <c r="N67" i="366"/>
  <c r="M67" i="366"/>
  <c r="K67" i="366"/>
  <c r="G67" i="366"/>
  <c r="P67" i="366" s="1"/>
  <c r="Q66" i="366"/>
  <c r="P66" i="366"/>
  <c r="O66" i="366"/>
  <c r="N66" i="366"/>
  <c r="M66" i="366"/>
  <c r="L66" i="366"/>
  <c r="K66" i="366"/>
  <c r="K68" i="366" s="1"/>
  <c r="Q65" i="366"/>
  <c r="P65" i="366"/>
  <c r="O65" i="366"/>
  <c r="N65" i="366"/>
  <c r="M65" i="366"/>
  <c r="L65" i="366"/>
  <c r="K65" i="366"/>
  <c r="Q64" i="366"/>
  <c r="P64" i="366"/>
  <c r="O64" i="366"/>
  <c r="N64" i="366"/>
  <c r="M64" i="366"/>
  <c r="L64" i="366"/>
  <c r="K64" i="366"/>
  <c r="Q63" i="366"/>
  <c r="P63" i="366"/>
  <c r="O63" i="366"/>
  <c r="N63" i="366"/>
  <c r="M63" i="366"/>
  <c r="L63" i="366"/>
  <c r="K63" i="366"/>
  <c r="Q62" i="366"/>
  <c r="O62" i="366"/>
  <c r="N62" i="366"/>
  <c r="M62" i="366"/>
  <c r="K62" i="366"/>
  <c r="L62" i="366"/>
  <c r="Q61" i="366"/>
  <c r="P61" i="366"/>
  <c r="O61" i="366"/>
  <c r="N61" i="366"/>
  <c r="M61" i="366"/>
  <c r="L61" i="366"/>
  <c r="K61" i="366"/>
  <c r="Q60" i="366"/>
  <c r="P60" i="366"/>
  <c r="O60" i="366"/>
  <c r="N60" i="366"/>
  <c r="M60" i="366"/>
  <c r="L60" i="366"/>
  <c r="K60" i="366"/>
  <c r="H59" i="366"/>
  <c r="G59" i="366"/>
  <c r="F59" i="366"/>
  <c r="Q59" i="366" s="1"/>
  <c r="Q58" i="366"/>
  <c r="P58" i="366"/>
  <c r="O58" i="366"/>
  <c r="N58" i="366"/>
  <c r="M58" i="366"/>
  <c r="L58" i="366"/>
  <c r="K58" i="366"/>
  <c r="K59" i="366"/>
  <c r="H57" i="366"/>
  <c r="F57" i="366"/>
  <c r="O56" i="366"/>
  <c r="N56" i="366"/>
  <c r="M56" i="366"/>
  <c r="K56" i="366"/>
  <c r="Q55" i="366"/>
  <c r="P55" i="366"/>
  <c r="O55" i="366"/>
  <c r="N55" i="366"/>
  <c r="M55" i="366"/>
  <c r="L55" i="366"/>
  <c r="K55" i="366"/>
  <c r="H54" i="366"/>
  <c r="F54" i="366"/>
  <c r="Q53" i="366"/>
  <c r="P53" i="366"/>
  <c r="O53" i="366"/>
  <c r="N53" i="366"/>
  <c r="M53" i="366"/>
  <c r="L53" i="366"/>
  <c r="K53" i="366"/>
  <c r="Q52" i="366"/>
  <c r="N52" i="366"/>
  <c r="M52" i="366"/>
  <c r="L52" i="366"/>
  <c r="K52" i="366"/>
  <c r="Q51" i="366"/>
  <c r="P51" i="366"/>
  <c r="O51" i="366"/>
  <c r="N51" i="366"/>
  <c r="M51" i="366"/>
  <c r="L51" i="366"/>
  <c r="K51" i="366"/>
  <c r="Q50" i="366"/>
  <c r="P50" i="366"/>
  <c r="O50" i="366"/>
  <c r="N50" i="366"/>
  <c r="M50" i="366"/>
  <c r="L50" i="366"/>
  <c r="K50" i="366"/>
  <c r="G54" i="366"/>
  <c r="F49" i="366"/>
  <c r="O49" i="366"/>
  <c r="Q48" i="366"/>
  <c r="O48" i="366"/>
  <c r="N48" i="366"/>
  <c r="M48" i="366"/>
  <c r="K48" i="366"/>
  <c r="K49" i="366"/>
  <c r="Q44" i="366"/>
  <c r="P44" i="366"/>
  <c r="N44" i="366"/>
  <c r="M44" i="366"/>
  <c r="L44" i="366"/>
  <c r="Q43" i="366"/>
  <c r="P43" i="366"/>
  <c r="O43" i="366"/>
  <c r="N43" i="366"/>
  <c r="M43" i="366"/>
  <c r="L43" i="366"/>
  <c r="K43" i="366"/>
  <c r="Q42" i="366"/>
  <c r="P42" i="366"/>
  <c r="O42" i="366"/>
  <c r="N42" i="366"/>
  <c r="M42" i="366"/>
  <c r="L42" i="366"/>
  <c r="K42" i="366"/>
  <c r="Q41" i="366"/>
  <c r="O41" i="366"/>
  <c r="N41" i="366"/>
  <c r="M41" i="366"/>
  <c r="K41" i="366"/>
  <c r="L41" i="366"/>
  <c r="Q40" i="366"/>
  <c r="P40" i="366"/>
  <c r="O40" i="366"/>
  <c r="N40" i="366"/>
  <c r="M40" i="366"/>
  <c r="L40" i="366"/>
  <c r="K40" i="366"/>
  <c r="Q39" i="366"/>
  <c r="P39" i="366"/>
  <c r="O39" i="366"/>
  <c r="N39" i="366"/>
  <c r="M39" i="366"/>
  <c r="L39" i="366"/>
  <c r="K39" i="366"/>
  <c r="Q38" i="366"/>
  <c r="P38" i="366"/>
  <c r="O38" i="366"/>
  <c r="N38" i="366"/>
  <c r="M38" i="366"/>
  <c r="L38" i="366"/>
  <c r="K38" i="366"/>
  <c r="Q36" i="366"/>
  <c r="P36" i="366"/>
  <c r="O36" i="366"/>
  <c r="N36" i="366"/>
  <c r="M36" i="366"/>
  <c r="L36" i="366"/>
  <c r="K36" i="366"/>
  <c r="Q35" i="366"/>
  <c r="P35" i="366"/>
  <c r="O35" i="366"/>
  <c r="N35" i="366"/>
  <c r="M35" i="366"/>
  <c r="L35" i="366"/>
  <c r="K35" i="366"/>
  <c r="P34" i="366"/>
  <c r="O34" i="366"/>
  <c r="N34" i="366"/>
  <c r="L34" i="366"/>
  <c r="K34" i="366"/>
  <c r="H33" i="366"/>
  <c r="G33" i="366"/>
  <c r="F33" i="366"/>
  <c r="F37" i="366" s="1"/>
  <c r="Q32" i="366"/>
  <c r="P32" i="366"/>
  <c r="O32" i="366"/>
  <c r="N32" i="366"/>
  <c r="M32" i="366"/>
  <c r="L32" i="366"/>
  <c r="K32" i="366"/>
  <c r="Q31" i="366"/>
  <c r="P31" i="366"/>
  <c r="O31" i="366"/>
  <c r="N31" i="366"/>
  <c r="M31" i="366"/>
  <c r="L31" i="366"/>
  <c r="K31" i="366"/>
  <c r="Q30" i="366"/>
  <c r="O30" i="366"/>
  <c r="N30" i="366"/>
  <c r="M30" i="366"/>
  <c r="K30" i="366"/>
  <c r="K37" i="366" s="1"/>
  <c r="G30" i="366"/>
  <c r="P30" i="366"/>
  <c r="H29" i="366"/>
  <c r="G29" i="366"/>
  <c r="G22" i="366" s="1"/>
  <c r="F29" i="366"/>
  <c r="Q28" i="366"/>
  <c r="P28" i="366"/>
  <c r="O28" i="366"/>
  <c r="N28" i="366"/>
  <c r="M28" i="366"/>
  <c r="L28" i="366"/>
  <c r="K28" i="366"/>
  <c r="K29" i="366" s="1"/>
  <c r="Q27" i="366"/>
  <c r="P27" i="366"/>
  <c r="O27" i="366"/>
  <c r="N27" i="366"/>
  <c r="M27" i="366"/>
  <c r="L27" i="366"/>
  <c r="K27" i="366"/>
  <c r="H26" i="366"/>
  <c r="N26" i="366" s="1"/>
  <c r="F26" i="366"/>
  <c r="Q25" i="366"/>
  <c r="P25" i="366"/>
  <c r="O25" i="366"/>
  <c r="N25" i="366"/>
  <c r="M25" i="366"/>
  <c r="L25" i="366"/>
  <c r="K25" i="366"/>
  <c r="Q24" i="366"/>
  <c r="O24" i="366"/>
  <c r="N24" i="366"/>
  <c r="M24" i="366"/>
  <c r="K24" i="366"/>
  <c r="G26" i="366"/>
  <c r="Q23" i="366"/>
  <c r="O23" i="366"/>
  <c r="N23" i="366"/>
  <c r="M23" i="366"/>
  <c r="L23" i="366"/>
  <c r="K23" i="366"/>
  <c r="Q21" i="366"/>
  <c r="P21" i="366"/>
  <c r="O21" i="366"/>
  <c r="N21" i="366"/>
  <c r="M21" i="366"/>
  <c r="L21" i="366"/>
  <c r="K21" i="366"/>
  <c r="Q20" i="366"/>
  <c r="P20" i="366"/>
  <c r="O20" i="366"/>
  <c r="N20" i="366"/>
  <c r="M20" i="366"/>
  <c r="L20" i="366"/>
  <c r="K20" i="366"/>
  <c r="Q19" i="366"/>
  <c r="P19" i="366"/>
  <c r="O19" i="366"/>
  <c r="N19" i="366"/>
  <c r="M19" i="366"/>
  <c r="L19" i="366"/>
  <c r="K19" i="366"/>
  <c r="Q18" i="366"/>
  <c r="P18" i="366"/>
  <c r="O18" i="366"/>
  <c r="N18" i="366"/>
  <c r="M18" i="366"/>
  <c r="L18" i="366"/>
  <c r="K18" i="366"/>
  <c r="F17" i="366"/>
  <c r="F5" i="366"/>
  <c r="Q16" i="366"/>
  <c r="P16" i="366"/>
  <c r="O16" i="366"/>
  <c r="N16" i="366"/>
  <c r="M16" i="366"/>
  <c r="L16" i="366"/>
  <c r="K16" i="366"/>
  <c r="Q15" i="366"/>
  <c r="P15" i="366"/>
  <c r="O15" i="366"/>
  <c r="N15" i="366"/>
  <c r="M15" i="366"/>
  <c r="L15" i="366"/>
  <c r="K15" i="366"/>
  <c r="Q14" i="366"/>
  <c r="P14" i="366"/>
  <c r="O14" i="366"/>
  <c r="N14" i="366"/>
  <c r="M14" i="366"/>
  <c r="L14" i="366"/>
  <c r="K14" i="366"/>
  <c r="Q13" i="366"/>
  <c r="P13" i="366"/>
  <c r="O13" i="366"/>
  <c r="N13" i="366"/>
  <c r="M13" i="366"/>
  <c r="L13" i="366"/>
  <c r="K13" i="366"/>
  <c r="Q12" i="366"/>
  <c r="P12" i="366"/>
  <c r="O12" i="366"/>
  <c r="N12" i="366"/>
  <c r="M12" i="366"/>
  <c r="L12" i="366"/>
  <c r="K12" i="366"/>
  <c r="Q11" i="366"/>
  <c r="P11" i="366"/>
  <c r="O11" i="366"/>
  <c r="N11" i="366"/>
  <c r="M11" i="366"/>
  <c r="L11" i="366"/>
  <c r="K11" i="366"/>
  <c r="Q10" i="366"/>
  <c r="O10" i="366"/>
  <c r="N10" i="366"/>
  <c r="M10" i="366"/>
  <c r="K10" i="366"/>
  <c r="L10" i="366"/>
  <c r="Q9" i="366"/>
  <c r="P9" i="366"/>
  <c r="O9" i="366"/>
  <c r="N9" i="366"/>
  <c r="M9" i="366"/>
  <c r="L9" i="366"/>
  <c r="K9" i="366"/>
  <c r="Q8" i="366"/>
  <c r="O8" i="366"/>
  <c r="N8" i="366"/>
  <c r="M8" i="366"/>
  <c r="K8" i="366"/>
  <c r="L8" i="366"/>
  <c r="Q7" i="366"/>
  <c r="P7" i="366"/>
  <c r="O7" i="366"/>
  <c r="N7" i="366"/>
  <c r="M7" i="366"/>
  <c r="L7" i="366"/>
  <c r="K7" i="366"/>
  <c r="Q6" i="366"/>
  <c r="O6" i="366"/>
  <c r="M6" i="366"/>
  <c r="L6" i="366"/>
  <c r="K6" i="366"/>
  <c r="K26" i="366"/>
  <c r="K22" i="366" s="1"/>
  <c r="H37" i="366"/>
  <c r="K47" i="366"/>
  <c r="K54" i="366"/>
  <c r="K57" i="366"/>
  <c r="K17" i="366"/>
  <c r="K5" i="366" s="1"/>
  <c r="K69" i="366" s="1"/>
  <c r="K79" i="366" s="1"/>
  <c r="N17" i="366"/>
  <c r="G70" i="366"/>
  <c r="L33" i="366"/>
  <c r="L24" i="366"/>
  <c r="L26" i="366" s="1"/>
  <c r="P26" i="366"/>
  <c r="P10" i="366"/>
  <c r="O70" i="366"/>
  <c r="Q54" i="366"/>
  <c r="N57" i="366"/>
  <c r="O17" i="366"/>
  <c r="N29" i="366"/>
  <c r="O33" i="366"/>
  <c r="N59" i="366"/>
  <c r="N33" i="366"/>
  <c r="P41" i="366"/>
  <c r="N54" i="366"/>
  <c r="Q57" i="366"/>
  <c r="O57" i="366"/>
  <c r="P59" i="366"/>
  <c r="O29" i="366"/>
  <c r="Q26" i="366"/>
  <c r="K33" i="366"/>
  <c r="P62" i="366"/>
  <c r="N70" i="366"/>
  <c r="M17" i="366"/>
  <c r="M29" i="366"/>
  <c r="P8" i="366"/>
  <c r="Q17" i="366"/>
  <c r="P24" i="366"/>
  <c r="Q29" i="366"/>
  <c r="G37" i="366"/>
  <c r="P37" i="366" s="1"/>
  <c r="P47" i="366"/>
  <c r="P54" i="366"/>
  <c r="L56" i="366"/>
  <c r="O68" i="366"/>
  <c r="O37" i="366"/>
  <c r="N47" i="366"/>
  <c r="M26" i="366"/>
  <c r="L30" i="366"/>
  <c r="G49" i="366"/>
  <c r="L49" i="366" s="1"/>
  <c r="P48" i="366"/>
  <c r="L48" i="366"/>
  <c r="G57" i="366"/>
  <c r="P57" i="366" s="1"/>
  <c r="M49" i="366"/>
  <c r="N68" i="366"/>
  <c r="P33" i="366"/>
  <c r="O47" i="366"/>
  <c r="N49" i="366"/>
  <c r="Q49" i="366"/>
  <c r="L54" i="366"/>
  <c r="O54" i="366"/>
  <c r="M57" i="366"/>
  <c r="L59" i="366"/>
  <c r="O59" i="366"/>
  <c r="G68" i="366"/>
  <c r="P68" i="366" s="1"/>
  <c r="Q33" i="366"/>
  <c r="M54" i="366"/>
  <c r="M59" i="366"/>
  <c r="N37" i="366"/>
  <c r="L57" i="366"/>
  <c r="H22" i="366"/>
  <c r="H69" i="366" s="1"/>
  <c r="H79" i="366" s="1"/>
  <c r="L70" i="366"/>
  <c r="N5" i="366"/>
  <c r="L17" i="366"/>
  <c r="P17" i="366"/>
  <c r="P70" i="366"/>
  <c r="L47" i="366"/>
  <c r="L68" i="366"/>
  <c r="Q5" i="366"/>
  <c r="M5" i="366"/>
  <c r="P49" i="366"/>
  <c r="Q74" i="366"/>
  <c r="M74" i="366"/>
  <c r="Q72" i="366"/>
  <c r="Q71" i="366"/>
  <c r="M71" i="366"/>
  <c r="M73" i="366"/>
  <c r="Q73" i="366"/>
  <c r="M70" i="366"/>
  <c r="Q70" i="366"/>
  <c r="J69" i="366" l="1"/>
  <c r="P5" i="366"/>
  <c r="G69" i="366"/>
  <c r="L5" i="366"/>
  <c r="Q37" i="366"/>
  <c r="M37" i="366"/>
  <c r="F22" i="366"/>
  <c r="O5" i="366"/>
  <c r="E69" i="366"/>
  <c r="L22" i="366"/>
  <c r="P22" i="366"/>
  <c r="Q68" i="366"/>
  <c r="M68" i="366"/>
  <c r="L37" i="366"/>
  <c r="M47" i="366"/>
  <c r="L29" i="366"/>
  <c r="P29" i="366"/>
  <c r="L67" i="366"/>
  <c r="O26" i="366"/>
  <c r="M34" i="366"/>
  <c r="M33" i="366"/>
  <c r="E79" i="366" l="1"/>
  <c r="O79" i="366" s="1"/>
  <c r="O69" i="366"/>
  <c r="P69" i="366"/>
  <c r="L69" i="366"/>
  <c r="L79" i="366" s="1"/>
  <c r="G79" i="366"/>
  <c r="P79" i="366" s="1"/>
  <c r="F69" i="366"/>
  <c r="Q22" i="366"/>
  <c r="M22" i="366"/>
  <c r="J79" i="366"/>
  <c r="N69" i="366"/>
  <c r="N79" i="366" s="1"/>
  <c r="F79" i="366" l="1"/>
  <c r="Q79" i="366" s="1"/>
  <c r="Q69" i="366"/>
  <c r="M69" i="366"/>
  <c r="M79" i="366" s="1"/>
</calcChain>
</file>

<file path=xl/sharedStrings.xml><?xml version="1.0" encoding="utf-8"?>
<sst xmlns="http://schemas.openxmlformats.org/spreadsheetml/2006/main" count="193" uniqueCount="161">
  <si>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</si>
  <si>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</si>
  <si>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</si>
  <si>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</si>
  <si>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</si>
  <si>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</si>
  <si>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</si>
  <si>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</si>
  <si>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</si>
  <si>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</si>
  <si>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</si>
  <si>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</si>
  <si>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</si>
  <si>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</si>
  <si>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</si>
  <si>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</si>
  <si>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</si>
  <si>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</si>
  <si>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</si>
  <si>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</si>
  <si>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</si>
  <si>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ДЗО</t>
  </si>
  <si>
    <t>1 06 01020 04 0000 110</t>
  </si>
  <si>
    <t>Налог на имущество физических лиц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</si>
  <si>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</si>
  <si>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</si>
  <si>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</si>
  <si>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</si>
  <si>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</si>
  <si>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</si>
  <si>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</si>
  <si>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</si>
  <si>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</si>
  <si>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 xml:space="preserve"> 1 08 07110-120 01 0000 110, 1 08 02020 01 0000 110</t>
  </si>
  <si>
    <t>1 08 07130 01 0000 110</t>
  </si>
  <si>
    <t>Госпошлина за регистрацию СМИ</t>
  </si>
  <si>
    <t>951</t>
  </si>
  <si>
    <t>1 08 07150 01 0000 110</t>
  </si>
  <si>
    <t>944</t>
  </si>
  <si>
    <t>1 08 07173 01 0000 110</t>
  </si>
  <si>
    <t>Госпошлина за выдачу спец. разрешения (опасн., тяжеловесн., крупногабар. груз)</t>
  </si>
  <si>
    <t>НЕНАЛОГОВЫЕ ДОХОДЫ</t>
  </si>
  <si>
    <t>1 11 07014 04 0000 120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</si>
  <si>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</si>
  <si>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</si>
  <si>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</si>
  <si>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1 17 05040 04 0000 180</t>
  </si>
  <si>
    <t>Плата за размещение НТО</t>
  </si>
  <si>
    <t>163</t>
  </si>
  <si>
    <t>ДИО</t>
  </si>
  <si>
    <t>1 11 01040 04 0000 120</t>
  </si>
  <si>
    <t>Дивиденды по акциям</t>
  </si>
  <si>
    <t>1 11 05074 04 0000 120</t>
  </si>
  <si>
    <t>Доходы от сдачи в аренду имущества казны</t>
  </si>
  <si>
    <t>Прочие поступления от использования имущества</t>
  </si>
  <si>
    <t>1 14 02043 04 0000 410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</si>
  <si>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</si>
  <si>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</si>
  <si>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</si>
  <si>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</si>
  <si>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</si>
  <si>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</si>
  <si>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</si>
  <si>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</si>
  <si>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>1 14 06012 04 0000 430</t>
  </si>
  <si>
    <t xml:space="preserve">Доходы от продажи земельных участков, государственная собственность на которые не разграничена </t>
  </si>
  <si>
    <t>1 14 06312 04 0000 430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</si>
  <si>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</si>
  <si>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</si>
  <si>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</si>
  <si>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</si>
  <si>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</si>
  <si>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1 11 05092 04 0000 120</t>
  </si>
  <si>
    <t>1 16 00000 00 0000 000</t>
  </si>
  <si>
    <t>Штрафы, санкции, возмещение ущерба</t>
  </si>
  <si>
    <t>УЖО</t>
  </si>
  <si>
    <t>Плата за найм</t>
  </si>
  <si>
    <t>1 14 01040 04 0000 410</t>
  </si>
  <si>
    <t>Доходы от продажи квартир</t>
  </si>
  <si>
    <t>915, 048</t>
  </si>
  <si>
    <t>Уэкол.</t>
  </si>
  <si>
    <t>1 12 00000 00 0000 120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</si>
  <si>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</si>
  <si>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</si>
  <si>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</si>
  <si>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1 17 01040 04 0000 180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</si>
  <si>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</si>
  <si>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</si>
  <si>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</si>
  <si>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</si>
  <si>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</si>
  <si>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</si>
  <si>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</si>
  <si>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</si>
  <si>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2 07 04050 04 0000 150</t>
  </si>
  <si>
    <t>Прочие безвозмездные поступления в бюджеты городских округов</t>
  </si>
  <si>
    <t>2 18 04000 00 0000 000</t>
  </si>
  <si>
    <t>Доходы бюджетов городских округов от возврата бюджетными и автономными учреждениями остатков субсидий прошлых лет</t>
  </si>
  <si>
    <t>2 19 04000 00 0000 000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</si>
  <si>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</si>
  <si>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</si>
  <si>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</si>
  <si>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</si>
  <si>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</si>
  <si>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</si>
  <si>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</si>
  <si>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</si>
  <si>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1 11 05000 04 0000 120</t>
  </si>
  <si>
    <t>1 11 05300 00 0000 120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</si>
  <si>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</si>
  <si>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</si>
  <si>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</si>
  <si>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</si>
  <si>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1 13 02000 04 0010 130</t>
  </si>
  <si>
    <t>1 13 02000 04 0015 130</t>
  </si>
  <si>
    <t>1 13 02000 04 0020 130</t>
  </si>
  <si>
    <t>1 13 00000 04 0000 130</t>
  </si>
  <si>
    <t>1 17 05040 04 2000 180</t>
  </si>
  <si>
    <t>1 14 02 04 3 04 3 000 410</t>
  </si>
  <si>
    <t>1 14 02 04 3 04 1 000 410</t>
  </si>
  <si>
    <t>1 14 02 04 3 04 2 000 410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</si>
  <si>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</si>
  <si>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</si>
  <si>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2 03 04099 04 0 000 150</t>
  </si>
  <si>
    <t>2 02 10000 00 0000 000</t>
  </si>
  <si>
    <t>2 02 20000 00 0000 000</t>
  </si>
  <si>
    <t>2 02 30000 00 0000 000</t>
  </si>
  <si>
    <t>2 02 40000 00 0000 000</t>
  </si>
  <si>
    <t>1 13 02994 04 0030 130</t>
  </si>
  <si>
    <t>1 11 05012 04 1000 120</t>
  </si>
  <si>
    <t xml:space="preserve">год </t>
  </si>
  <si>
    <t>Доходы от компенсации затрат государства (лпд )</t>
  </si>
  <si>
    <t>1 11 05024 04 1000 120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</si>
  <si>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</si>
  <si>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  <charset val="204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</si>
  <si>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</si>
  <si>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</si>
  <si>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</si>
  <si>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</si>
  <si>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1 05 01000 01 0000 110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</si>
  <si>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</si>
  <si>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</si>
  <si>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</si>
  <si>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</si>
  <si>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</si>
  <si>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1 06 04000 00 0000 110</t>
  </si>
  <si>
    <t>Инициативные платежи</t>
  </si>
  <si>
    <t>1 17 15020 04 0000 180</t>
  </si>
  <si>
    <t>Исполн. плана отч. периода</t>
  </si>
  <si>
    <t>Исполн. плана года</t>
  </si>
  <si>
    <t>Факт 2023г./ факт 2022г.</t>
  </si>
  <si>
    <t>Плата за фактическое пользование</t>
  </si>
  <si>
    <t>1 11 05400 00 0000 120</t>
  </si>
  <si>
    <t>январь-июнь</t>
  </si>
  <si>
    <t>июнь</t>
  </si>
  <si>
    <t>факта за июня от плана июня</t>
  </si>
  <si>
    <t>Факт с нач. 2022 года      (на 01.07.22 вкл.)</t>
  </si>
  <si>
    <t>с нач. года на 01.07.2023 (по 30.06.2023 вкл.)</t>
  </si>
  <si>
    <t>1 11 05012 04 1020 120, 1 11 05024 04 1020 120</t>
  </si>
  <si>
    <t>1 17 05040 04 1000 180, 1 11 09080 04 1000 120</t>
  </si>
  <si>
    <t>1 17 05040 04 0000 180, прочее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</si>
</sst>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#,##0.000"/>
  </numFmts>
  <fonts count="54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1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Times New Roman"/>
      <family val="1"/>
      <charset val="1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1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8"/>
      <name val="Times New Roman"/>
      <family val="1"/>
      <charset val="1"/>
    </font>
    <font>
      <b/>
      <i/>
      <sz val="8"/>
      <name val="Times New Roman"/>
      <family val="1"/>
      <charset val="204"/>
    </font>
    <font>
      <b/>
      <sz val="8"/>
      <name val="Arial Cyr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3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7" fillId="0" borderId="0"/>
    <xf numFmtId="0" fontId="8" fillId="0" borderId="0"/>
    <xf numFmtId="0" fontId="9" fillId="0" borderId="0"/>
    <xf numFmtId="0" fontId="1" fillId="0" borderId="0"/>
    <xf numFmtId="0" fontId="6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1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1" fillId="0" borderId="0"/>
    <xf numFmtId="0" fontId="34" fillId="0" borderId="0"/>
    <xf numFmtId="0" fontId="35" fillId="0" borderId="0"/>
    <xf numFmtId="0" fontId="36" fillId="0" borderId="0"/>
    <xf numFmtId="0" fontId="38" fillId="0" borderId="0"/>
    <xf numFmtId="0" fontId="41" fillId="0" borderId="0"/>
    <xf numFmtId="0" fontId="42" fillId="0" borderId="0"/>
    <xf numFmtId="0" fontId="43" fillId="0" borderId="0"/>
    <xf numFmtId="0" fontId="44" fillId="0" borderId="0"/>
    <xf numFmtId="0" fontId="45" fillId="0" borderId="0"/>
    <xf numFmtId="0" fontId="47" fillId="0" borderId="0"/>
    <xf numFmtId="0" fontId="48" fillId="0" borderId="0"/>
    <xf numFmtId="0" fontId="1" fillId="0" borderId="0"/>
    <xf numFmtId="0" fontId="1" fillId="0" borderId="0"/>
    <xf numFmtId="9" fontId="6" fillId="0" borderId="0" applyBorder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66" fontId="3" fillId="0" borderId="1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166" fontId="3" fillId="0" borderId="1" xfId="0" applyNumberFormat="1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9" fontId="0" fillId="0" borderId="0" xfId="89" applyFont="1" applyFill="1" applyBorder="1" applyAlignment="1" applyProtection="1"/>
    <xf numFmtId="0" fontId="3" fillId="0" borderId="0" xfId="0" applyFont="1" applyFill="1" applyAlignment="1">
      <alignment horizontal="right"/>
    </xf>
    <xf numFmtId="0" fontId="10" fillId="0" borderId="2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vertical="center" wrapText="1"/>
    </xf>
    <xf numFmtId="0" fontId="0" fillId="0" borderId="0" xfId="0" applyFont="1" applyFill="1"/>
    <xf numFmtId="167" fontId="5" fillId="0" borderId="1" xfId="0" applyNumberFormat="1" applyFont="1" applyFill="1" applyBorder="1" applyAlignment="1">
      <alignment vertical="center" wrapText="1"/>
    </xf>
    <xf numFmtId="4" fontId="0" fillId="0" borderId="0" xfId="0" applyNumberFormat="1" applyFont="1" applyFill="1"/>
    <xf numFmtId="4" fontId="10" fillId="0" borderId="2" xfId="0" applyNumberFormat="1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left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right" wrapText="1"/>
    </xf>
    <xf numFmtId="4" fontId="0" fillId="0" borderId="0" xfId="0" applyNumberFormat="1" applyFont="1" applyFill="1" applyAlignment="1"/>
    <xf numFmtId="164" fontId="13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165" fontId="13" fillId="0" borderId="1" xfId="0" applyNumberFormat="1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wrapText="1"/>
    </xf>
    <xf numFmtId="166" fontId="13" fillId="0" borderId="1" xfId="0" applyNumberFormat="1" applyFont="1" applyFill="1" applyBorder="1" applyAlignment="1">
      <alignment wrapText="1"/>
    </xf>
    <xf numFmtId="164" fontId="12" fillId="0" borderId="1" xfId="0" applyNumberFormat="1" applyFont="1" applyFill="1" applyBorder="1" applyAlignment="1">
      <alignment wrapText="1"/>
    </xf>
    <xf numFmtId="166" fontId="13" fillId="0" borderId="3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/>
    <xf numFmtId="49" fontId="49" fillId="0" borderId="1" xfId="0" applyNumberFormat="1" applyFont="1" applyFill="1" applyBorder="1" applyAlignment="1">
      <alignment horizontal="center" vertical="center" wrapText="1"/>
    </xf>
    <xf numFmtId="49" fontId="50" fillId="0" borderId="1" xfId="0" applyNumberFormat="1" applyFont="1" applyFill="1" applyBorder="1" applyAlignment="1">
      <alignment horizontal="center" vertical="center" wrapText="1"/>
    </xf>
    <xf numFmtId="49" fontId="49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39" fillId="0" borderId="3" xfId="0" applyNumberFormat="1" applyFont="1" applyFill="1" applyBorder="1" applyAlignment="1">
      <alignment horizontal="center" vertical="center" wrapText="1"/>
    </xf>
    <xf numFmtId="49" fontId="39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9" fontId="4" fillId="0" borderId="1" xfId="89" applyFont="1" applyFill="1" applyBorder="1" applyAlignment="1" applyProtection="1">
      <alignment horizontal="center" vertical="top" wrapText="1"/>
    </xf>
    <xf numFmtId="166" fontId="5" fillId="0" borderId="1" xfId="0" applyNumberFormat="1" applyFont="1" applyFill="1" applyBorder="1" applyAlignment="1">
      <alignment horizontal="left" wrapText="1"/>
    </xf>
    <xf numFmtId="166" fontId="40" fillId="2" borderId="1" xfId="0" applyNumberFormat="1" applyFont="1" applyFill="1" applyBorder="1" applyAlignment="1">
      <alignment horizontal="left" wrapText="1"/>
    </xf>
    <xf numFmtId="166" fontId="4" fillId="0" borderId="1" xfId="0" applyNumberFormat="1" applyFont="1" applyFill="1" applyBorder="1" applyAlignment="1">
      <alignment horizontal="left" vertical="center" wrapText="1"/>
    </xf>
    <xf numFmtId="166" fontId="39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top" wrapText="1"/>
    </xf>
  </cellXfs>
  <cellStyles count="93">
    <cellStyle name="Денежный 2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3 2" xfId="6"/>
    <cellStyle name="Обычный 14" xfId="7"/>
    <cellStyle name="Обычный 14 2" xfId="8"/>
    <cellStyle name="Обычный 15" xfId="9"/>
    <cellStyle name="Обычный 16" xfId="10"/>
    <cellStyle name="Обычный 17" xfId="11"/>
    <cellStyle name="Обычный 18" xfId="12"/>
    <cellStyle name="Обычный 19" xfId="13"/>
    <cellStyle name="Обычный 2" xfId="14"/>
    <cellStyle name="Обычный 2 2" xfId="15"/>
    <cellStyle name="Обычный 2 3" xfId="16"/>
    <cellStyle name="Обычный 20" xfId="17"/>
    <cellStyle name="Обычный 21" xfId="18"/>
    <cellStyle name="Обычный 22" xfId="19"/>
    <cellStyle name="Обычный 22 2" xfId="20"/>
    <cellStyle name="Обычный 23" xfId="21"/>
    <cellStyle name="Обычный 24" xfId="22"/>
    <cellStyle name="Обычный 25" xfId="23"/>
    <cellStyle name="Обычный 26" xfId="24"/>
    <cellStyle name="Обычный 27" xfId="25"/>
    <cellStyle name="Обычный 28" xfId="26"/>
    <cellStyle name="Обычный 29" xfId="27"/>
    <cellStyle name="Обычный 3" xfId="28"/>
    <cellStyle name="Обычный 3 2" xfId="29"/>
    <cellStyle name="Обычный 3 3" xfId="30"/>
    <cellStyle name="Обычный 30" xfId="31"/>
    <cellStyle name="Обычный 31" xfId="32"/>
    <cellStyle name="Обычный 32" xfId="33"/>
    <cellStyle name="Обычный 33" xfId="34"/>
    <cellStyle name="Обычный 34" xfId="35"/>
    <cellStyle name="Обычный 35" xfId="36"/>
    <cellStyle name="Обычный 36" xfId="37"/>
    <cellStyle name="Обычный 37" xfId="38"/>
    <cellStyle name="Обычный 38" xfId="39"/>
    <cellStyle name="Обычный 39" xfId="40"/>
    <cellStyle name="Обычный 4" xfId="41"/>
    <cellStyle name="Обычный 40" xfId="42"/>
    <cellStyle name="Обычный 41" xfId="43"/>
    <cellStyle name="Обычный 42" xfId="44"/>
    <cellStyle name="Обычный 43" xfId="45"/>
    <cellStyle name="Обычный 44" xfId="46"/>
    <cellStyle name="Обычный 45" xfId="47"/>
    <cellStyle name="Обычный 46" xfId="48"/>
    <cellStyle name="Обычный 47" xfId="49"/>
    <cellStyle name="Обычный 48" xfId="50"/>
    <cellStyle name="Обычный 49" xfId="51"/>
    <cellStyle name="Обычный 5" xfId="52"/>
    <cellStyle name="Обычный 5 2" xfId="53"/>
    <cellStyle name="Обычный 50" xfId="54"/>
    <cellStyle name="Обычный 51" xfId="55"/>
    <cellStyle name="Обычный 52" xfId="56"/>
    <cellStyle name="Обычный 53" xfId="57"/>
    <cellStyle name="Обычный 54" xfId="58"/>
    <cellStyle name="Обычный 55" xfId="59"/>
    <cellStyle name="Обычный 56" xfId="60"/>
    <cellStyle name="Обычный 57" xfId="61"/>
    <cellStyle name="Обычный 58" xfId="62"/>
    <cellStyle name="Обычный 59" xfId="63"/>
    <cellStyle name="Обычный 6" xfId="64"/>
    <cellStyle name="Обычный 60" xfId="65"/>
    <cellStyle name="Обычный 61" xfId="66"/>
    <cellStyle name="Обычный 62" xfId="67"/>
    <cellStyle name="Обычный 63" xfId="68"/>
    <cellStyle name="Обычный 64" xfId="69"/>
    <cellStyle name="Обычный 65" xfId="70"/>
    <cellStyle name="Обычный 66" xfId="71"/>
    <cellStyle name="Обычный 67" xfId="72"/>
    <cellStyle name="Обычный 68" xfId="73"/>
    <cellStyle name="Обычный 69" xfId="74"/>
    <cellStyle name="Обычный 7" xfId="75"/>
    <cellStyle name="Обычный 70" xfId="76"/>
    <cellStyle name="Обычный 71" xfId="77"/>
    <cellStyle name="Обычный 72" xfId="78"/>
    <cellStyle name="Обычный 73" xfId="79"/>
    <cellStyle name="Обычный 73 2" xfId="80"/>
    <cellStyle name="Обычный 74" xfId="81"/>
    <cellStyle name="Обычный 75" xfId="82"/>
    <cellStyle name="Обычный 76" xfId="83"/>
    <cellStyle name="Обычный 77" xfId="84"/>
    <cellStyle name="Обычный 78" xfId="85"/>
    <cellStyle name="Обычный 79" xfId="86"/>
    <cellStyle name="Обычный 8" xfId="87"/>
    <cellStyle name="Обычный 9" xfId="88"/>
    <cellStyle name="Процентный 2" xfId="89"/>
    <cellStyle name="Процентный 2 2" xfId="90"/>
    <cellStyle name="Финансовый 2" xfId="91"/>
    <cellStyle name="Финансовый 3" xfId="9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0"/>
  <sheetViews>
    <sheetView tabSelected="1" zoomScale="80" zoomScaleNormal="80" workbookViewId="0">
      <pane xSplit="4" ySplit="4" topLeftCell="E5" activePane="bottomRight" state="frozen"/>
      <selection pane="topRight" activeCell="E1" sqref="E1"/>
      <selection pane="bottomLeft" activeCell="A7" sqref="A7"/>
      <selection pane="bottomRight" activeCell="G20" sqref="G20"/>
    </sheetView>
  </sheetViews>
  <sheetFormatPr defaultRowHeight="12.75" x14ac:dyDescent="0.2"/>
  <cols>
    <col min="1" max="2" width="9.140625" style="26"/>
    <col min="3" max="3" width="19.140625" style="68" hidden="1" customWidth="1"/>
    <col min="4" max="4" width="67.5703125" style="26" customWidth="1"/>
    <col min="5" max="5" width="14.5703125" style="37" customWidth="1"/>
    <col min="6" max="6" width="15.5703125" style="28" customWidth="1"/>
    <col min="7" max="7" width="14.7109375" style="28" customWidth="1"/>
    <col min="8" max="8" width="14.42578125" style="28" customWidth="1"/>
    <col min="9" max="9" width="16.28515625" style="28" customWidth="1"/>
    <col min="10" max="10" width="13.85546875" style="28" customWidth="1"/>
    <col min="11" max="11" width="15.140625" style="28" customWidth="1"/>
    <col min="12" max="12" width="14.42578125" style="28" customWidth="1"/>
    <col min="13" max="13" width="15.5703125" style="28" customWidth="1"/>
    <col min="14" max="14" width="13.7109375" style="28" customWidth="1"/>
    <col min="15" max="15" width="13.140625" style="26" customWidth="1"/>
    <col min="16" max="16" width="10.140625" style="26" customWidth="1"/>
    <col min="17" max="17" width="9.28515625" style="26" customWidth="1"/>
    <col min="18" max="18" width="9.140625" style="26" customWidth="1"/>
    <col min="19" max="19" width="16.5703125" style="26" customWidth="1"/>
    <col min="20" max="20" width="9.140625" style="26" customWidth="1"/>
    <col min="21" max="21" width="15.7109375" style="26" customWidth="1"/>
    <col min="22" max="16384" width="9.140625" style="26"/>
  </cols>
  <sheetData>
    <row r="1" spans="1:22" ht="20.25" x14ac:dyDescent="0.2">
      <c r="A1" s="87" t="s">
        <v>134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22" ht="20.25" customHeight="1" x14ac:dyDescent="0.3">
      <c r="A2" s="19"/>
      <c r="B2" s="20"/>
      <c r="C2" s="61"/>
      <c r="D2" s="18"/>
      <c r="E2" s="29"/>
      <c r="F2" s="29"/>
      <c r="G2" s="29"/>
      <c r="H2" s="29"/>
      <c r="I2" s="29"/>
      <c r="J2" s="29"/>
      <c r="K2" s="29"/>
      <c r="L2" s="29"/>
      <c r="M2" s="29"/>
      <c r="N2" s="29"/>
      <c r="O2" s="18"/>
      <c r="P2" s="17"/>
      <c r="Q2" s="17" t="s">
        <v>0</v>
      </c>
    </row>
    <row r="3" spans="1:22" ht="20.25" customHeight="1" x14ac:dyDescent="0.2">
      <c r="A3" s="89" t="s">
        <v>1</v>
      </c>
      <c r="B3" s="76" t="s">
        <v>2</v>
      </c>
      <c r="C3" s="90" t="s">
        <v>3</v>
      </c>
      <c r="D3" s="92" t="s">
        <v>4</v>
      </c>
      <c r="E3" s="94" t="s">
        <v>156</v>
      </c>
      <c r="F3" s="73" t="s">
        <v>133</v>
      </c>
      <c r="G3" s="75"/>
      <c r="H3" s="74"/>
      <c r="I3" s="73" t="s">
        <v>135</v>
      </c>
      <c r="J3" s="74"/>
      <c r="K3" s="73" t="s">
        <v>5</v>
      </c>
      <c r="L3" s="75"/>
      <c r="M3" s="75"/>
      <c r="N3" s="74"/>
      <c r="O3" s="76" t="s">
        <v>150</v>
      </c>
      <c r="P3" s="96" t="s">
        <v>148</v>
      </c>
      <c r="Q3" s="76" t="s">
        <v>149</v>
      </c>
    </row>
    <row r="4" spans="1:22" ht="63" x14ac:dyDescent="0.2">
      <c r="A4" s="89"/>
      <c r="B4" s="76"/>
      <c r="C4" s="91"/>
      <c r="D4" s="93"/>
      <c r="E4" s="95"/>
      <c r="F4" s="30" t="s">
        <v>130</v>
      </c>
      <c r="G4" s="30" t="s">
        <v>153</v>
      </c>
      <c r="H4" s="30" t="s">
        <v>154</v>
      </c>
      <c r="I4" s="30" t="s">
        <v>157</v>
      </c>
      <c r="J4" s="30" t="s">
        <v>154</v>
      </c>
      <c r="K4" s="30" t="s">
        <v>136</v>
      </c>
      <c r="L4" s="30" t="s">
        <v>6</v>
      </c>
      <c r="M4" s="30" t="s">
        <v>137</v>
      </c>
      <c r="N4" s="30" t="s">
        <v>155</v>
      </c>
      <c r="O4" s="76"/>
      <c r="P4" s="96"/>
      <c r="Q4" s="76"/>
    </row>
    <row r="5" spans="1:22" ht="29.25" customHeight="1" x14ac:dyDescent="0.2">
      <c r="A5" s="44"/>
      <c r="B5" s="45"/>
      <c r="C5" s="62"/>
      <c r="D5" s="47" t="s">
        <v>7</v>
      </c>
      <c r="E5" s="39">
        <f t="shared" ref="E5:K5" si="0">E17+E19+E21+E18+E20</f>
        <v>7016997.3299999991</v>
      </c>
      <c r="F5" s="39">
        <f t="shared" si="0"/>
        <v>20002935.000000004</v>
      </c>
      <c r="G5" s="39">
        <f t="shared" si="0"/>
        <v>7774039.0000000009</v>
      </c>
      <c r="H5" s="39">
        <f t="shared" si="0"/>
        <v>1171786.0000000002</v>
      </c>
      <c r="I5" s="39">
        <f t="shared" si="0"/>
        <v>7260871.1100000003</v>
      </c>
      <c r="J5" s="39">
        <f t="shared" si="0"/>
        <v>1371398.12</v>
      </c>
      <c r="K5" s="39">
        <f t="shared" si="0"/>
        <v>243875.68000000017</v>
      </c>
      <c r="L5" s="39">
        <f>I5-G5</f>
        <v>-513167.8900000006</v>
      </c>
      <c r="M5" s="39">
        <f>I5-F5</f>
        <v>-12742063.890000004</v>
      </c>
      <c r="N5" s="39">
        <f>J5-H5</f>
        <v>199612.11999999988</v>
      </c>
      <c r="O5" s="25">
        <f t="shared" ref="O5:O36" si="1">IFERROR(I5/E5,"")</f>
        <v>1.0347547203641305</v>
      </c>
      <c r="P5" s="25">
        <f t="shared" ref="P5:P36" si="2">IFERROR(I5/G5,"")</f>
        <v>0.93398954005761992</v>
      </c>
      <c r="Q5" s="25">
        <f t="shared" ref="Q5:Q36" si="3">IFERROR(I5/F5,"")</f>
        <v>0.36299028667543032</v>
      </c>
      <c r="S5" s="28"/>
    </row>
    <row r="6" spans="1:22" ht="15.75" x14ac:dyDescent="0.25">
      <c r="A6" s="77" t="s">
        <v>12</v>
      </c>
      <c r="B6" s="57" t="s">
        <v>13</v>
      </c>
      <c r="C6" s="62" t="s">
        <v>14</v>
      </c>
      <c r="D6" s="2" t="s">
        <v>15</v>
      </c>
      <c r="E6" s="32">
        <v>5244412.2699999996</v>
      </c>
      <c r="F6" s="32">
        <f>14235121.9+613644.6</f>
        <v>14848766.5</v>
      </c>
      <c r="G6" s="32">
        <v>5815657.5000000009</v>
      </c>
      <c r="H6" s="32">
        <v>1129862.4000000001</v>
      </c>
      <c r="I6" s="32">
        <f>5505329.1+9520</f>
        <v>5514849.0999999996</v>
      </c>
      <c r="J6" s="32">
        <f>1294695.63+9520</f>
        <v>1304215.6299999999</v>
      </c>
      <c r="K6" s="32">
        <f t="shared" ref="K6:K58" si="4">I6-E6</f>
        <v>270436.83000000007</v>
      </c>
      <c r="L6" s="32">
        <f t="shared" ref="L6:L65" si="5">I6-G6</f>
        <v>-300808.4000000013</v>
      </c>
      <c r="M6" s="32">
        <f t="shared" ref="M6:M65" si="6">I6-F6</f>
        <v>-9333917.4000000004</v>
      </c>
      <c r="N6" s="32">
        <f>J6-H6</f>
        <v>174353.22999999975</v>
      </c>
      <c r="O6" s="22">
        <f t="shared" si="1"/>
        <v>1.0515666610626704</v>
      </c>
      <c r="P6" s="22">
        <f t="shared" si="2"/>
        <v>0.94827611495346809</v>
      </c>
      <c r="Q6" s="22">
        <f t="shared" si="3"/>
        <v>0.37140115982024496</v>
      </c>
      <c r="V6" s="28"/>
    </row>
    <row r="7" spans="1:22" ht="15.75" x14ac:dyDescent="0.25">
      <c r="A7" s="78"/>
      <c r="B7" s="57" t="s">
        <v>8</v>
      </c>
      <c r="C7" s="62" t="s">
        <v>9</v>
      </c>
      <c r="D7" s="1" t="s">
        <v>10</v>
      </c>
      <c r="E7" s="33">
        <v>35250.269999999997</v>
      </c>
      <c r="F7" s="33">
        <v>80057.5</v>
      </c>
      <c r="G7" s="33">
        <v>37510</v>
      </c>
      <c r="H7" s="33">
        <v>6620</v>
      </c>
      <c r="I7" s="33">
        <f>37206.93+147.6</f>
        <v>37354.53</v>
      </c>
      <c r="J7" s="33">
        <f>6265.7+147.6</f>
        <v>6413.3</v>
      </c>
      <c r="K7" s="33">
        <f>I7-E7</f>
        <v>2104.260000000002</v>
      </c>
      <c r="L7" s="33">
        <f>I7-G7</f>
        <v>-155.47000000000116</v>
      </c>
      <c r="M7" s="33">
        <f>I7-F7</f>
        <v>-42702.97</v>
      </c>
      <c r="N7" s="33">
        <f>J7-H7</f>
        <v>-206.69999999999982</v>
      </c>
      <c r="O7" s="22">
        <f t="shared" si="1"/>
        <v>1.0596948619116962</v>
      </c>
      <c r="P7" s="22">
        <f t="shared" si="2"/>
        <v>0.99585523860303915</v>
      </c>
      <c r="Q7" s="22">
        <f t="shared" si="3"/>
        <v>0.46659625893888768</v>
      </c>
      <c r="V7" s="28"/>
    </row>
    <row r="8" spans="1:22" ht="15.75" x14ac:dyDescent="0.25">
      <c r="A8" s="78"/>
      <c r="B8" s="57" t="s">
        <v>13</v>
      </c>
      <c r="C8" s="62" t="s">
        <v>139</v>
      </c>
      <c r="D8" s="2" t="s">
        <v>138</v>
      </c>
      <c r="E8" s="32"/>
      <c r="F8" s="32">
        <v>1204375.8999999999</v>
      </c>
      <c r="G8" s="32">
        <v>648721.5</v>
      </c>
      <c r="H8" s="32">
        <v>0</v>
      </c>
      <c r="I8" s="32">
        <f>547240.47+903.5</f>
        <v>548143.97</v>
      </c>
      <c r="J8" s="32">
        <f>21893.15+903.5</f>
        <v>22796.65</v>
      </c>
      <c r="K8" s="32">
        <f>I8-E8</f>
        <v>548143.97</v>
      </c>
      <c r="L8" s="32">
        <f>I8-G8</f>
        <v>-100577.53000000003</v>
      </c>
      <c r="M8" s="32">
        <f>I8-F8</f>
        <v>-656231.92999999993</v>
      </c>
      <c r="N8" s="32">
        <f t="shared" ref="N8:N65" si="7">J8-H8</f>
        <v>22796.65</v>
      </c>
      <c r="O8" s="22" t="str">
        <f t="shared" si="1"/>
        <v/>
      </c>
      <c r="P8" s="22">
        <f t="shared" si="2"/>
        <v>0.84496038746981561</v>
      </c>
      <c r="Q8" s="22">
        <f t="shared" si="3"/>
        <v>0.45512698319519679</v>
      </c>
      <c r="V8" s="28"/>
    </row>
    <row r="9" spans="1:22" ht="15.75" x14ac:dyDescent="0.25">
      <c r="A9" s="78"/>
      <c r="B9" s="57" t="s">
        <v>13</v>
      </c>
      <c r="C9" s="62" t="s">
        <v>16</v>
      </c>
      <c r="D9" s="2" t="s">
        <v>17</v>
      </c>
      <c r="E9" s="32">
        <v>902.13</v>
      </c>
      <c r="F9" s="32"/>
      <c r="G9" s="32"/>
      <c r="H9" s="32"/>
      <c r="I9" s="32">
        <f>-1977.2+1.6</f>
        <v>-1975.6000000000001</v>
      </c>
      <c r="J9" s="32">
        <f>1397.03+1.6</f>
        <v>1398.6299999999999</v>
      </c>
      <c r="K9" s="32">
        <f t="shared" si="4"/>
        <v>-2877.73</v>
      </c>
      <c r="L9" s="32">
        <f>I9-G9</f>
        <v>-1975.6000000000001</v>
      </c>
      <c r="M9" s="32">
        <f t="shared" si="6"/>
        <v>-1975.6000000000001</v>
      </c>
      <c r="N9" s="32">
        <f t="shared" si="7"/>
        <v>1398.6299999999999</v>
      </c>
      <c r="O9" s="22">
        <f t="shared" si="1"/>
        <v>-2.1899282808464413</v>
      </c>
      <c r="P9" s="22" t="str">
        <f t="shared" si="2"/>
        <v/>
      </c>
      <c r="Q9" s="22" t="str">
        <f t="shared" si="3"/>
        <v/>
      </c>
      <c r="V9" s="28"/>
    </row>
    <row r="10" spans="1:22" ht="15.75" x14ac:dyDescent="0.25">
      <c r="A10" s="78"/>
      <c r="B10" s="57" t="s">
        <v>13</v>
      </c>
      <c r="C10" s="62" t="s">
        <v>18</v>
      </c>
      <c r="D10" s="2" t="s">
        <v>19</v>
      </c>
      <c r="E10" s="32">
        <v>2174.06</v>
      </c>
      <c r="F10" s="32">
        <v>4690.3</v>
      </c>
      <c r="G10" s="32">
        <v>2720.4</v>
      </c>
      <c r="H10" s="32">
        <v>0</v>
      </c>
      <c r="I10" s="32">
        <v>-1457.88</v>
      </c>
      <c r="J10" s="32">
        <v>-3.24</v>
      </c>
      <c r="K10" s="32">
        <f t="shared" si="4"/>
        <v>-3631.94</v>
      </c>
      <c r="L10" s="32">
        <f t="shared" si="5"/>
        <v>-4178.2800000000007</v>
      </c>
      <c r="M10" s="32">
        <f t="shared" si="6"/>
        <v>-6148.18</v>
      </c>
      <c r="N10" s="32">
        <f t="shared" si="7"/>
        <v>-3.24</v>
      </c>
      <c r="O10" s="22">
        <f t="shared" si="1"/>
        <v>-0.67057946882790731</v>
      </c>
      <c r="P10" s="22">
        <f t="shared" si="2"/>
        <v>-0.53590648434053823</v>
      </c>
      <c r="Q10" s="22">
        <f t="shared" si="3"/>
        <v>-0.31082873163763514</v>
      </c>
      <c r="V10" s="28"/>
    </row>
    <row r="11" spans="1:22" ht="15.75" x14ac:dyDescent="0.25">
      <c r="A11" s="78"/>
      <c r="B11" s="57" t="s">
        <v>13</v>
      </c>
      <c r="C11" s="62" t="s">
        <v>20</v>
      </c>
      <c r="D11" s="2" t="s">
        <v>141</v>
      </c>
      <c r="E11" s="32">
        <v>120927.09</v>
      </c>
      <c r="F11" s="32">
        <v>314766.5</v>
      </c>
      <c r="G11" s="32">
        <v>125647</v>
      </c>
      <c r="H11" s="32">
        <v>573</v>
      </c>
      <c r="I11" s="32">
        <f>104048.5+301.9</f>
        <v>104350.39999999999</v>
      </c>
      <c r="J11" s="32">
        <f>5521.69+301.9</f>
        <v>5823.5899999999992</v>
      </c>
      <c r="K11" s="32">
        <f t="shared" si="4"/>
        <v>-16576.690000000002</v>
      </c>
      <c r="L11" s="32">
        <f t="shared" si="5"/>
        <v>-21296.600000000006</v>
      </c>
      <c r="M11" s="32">
        <f t="shared" si="6"/>
        <v>-210416.1</v>
      </c>
      <c r="N11" s="32">
        <f t="shared" si="7"/>
        <v>5250.5899999999992</v>
      </c>
      <c r="O11" s="22">
        <f t="shared" si="1"/>
        <v>0.86291996276434002</v>
      </c>
      <c r="P11" s="22">
        <f t="shared" si="2"/>
        <v>0.83050450866315939</v>
      </c>
      <c r="Q11" s="22">
        <f t="shared" si="3"/>
        <v>0.33151685455726704</v>
      </c>
      <c r="V11" s="28"/>
    </row>
    <row r="12" spans="1:22" ht="15.75" x14ac:dyDescent="0.25">
      <c r="A12" s="78"/>
      <c r="B12" s="57" t="s">
        <v>21</v>
      </c>
      <c r="C12" s="62" t="s">
        <v>22</v>
      </c>
      <c r="D12" s="2" t="s">
        <v>23</v>
      </c>
      <c r="E12" s="32">
        <v>55198.82</v>
      </c>
      <c r="F12" s="32">
        <v>1083466.2</v>
      </c>
      <c r="G12" s="32">
        <v>67900</v>
      </c>
      <c r="H12" s="32">
        <v>8300</v>
      </c>
      <c r="I12" s="32">
        <f>38006.26+544.3</f>
        <v>38550.560000000005</v>
      </c>
      <c r="J12" s="32">
        <f>8891.91+544.3</f>
        <v>9436.2099999999991</v>
      </c>
      <c r="K12" s="32">
        <f t="shared" si="4"/>
        <v>-16648.259999999995</v>
      </c>
      <c r="L12" s="32">
        <f t="shared" si="5"/>
        <v>-29349.439999999995</v>
      </c>
      <c r="M12" s="32">
        <f t="shared" si="6"/>
        <v>-1044915.6399999999</v>
      </c>
      <c r="N12" s="32">
        <f t="shared" si="7"/>
        <v>1136.2099999999991</v>
      </c>
      <c r="O12" s="22">
        <f t="shared" si="1"/>
        <v>0.6983946395955567</v>
      </c>
      <c r="P12" s="22">
        <f t="shared" si="2"/>
        <v>0.56775493372606778</v>
      </c>
      <c r="Q12" s="22">
        <f t="shared" si="3"/>
        <v>3.5580768463289399E-2</v>
      </c>
      <c r="V12" s="28"/>
    </row>
    <row r="13" spans="1:22" ht="15.75" x14ac:dyDescent="0.25">
      <c r="A13" s="78"/>
      <c r="B13" s="57" t="s">
        <v>105</v>
      </c>
      <c r="C13" s="62" t="s">
        <v>145</v>
      </c>
      <c r="D13" s="2" t="s">
        <v>144</v>
      </c>
      <c r="E13" s="32">
        <v>337528.47</v>
      </c>
      <c r="F13" s="32"/>
      <c r="G13" s="32"/>
      <c r="H13" s="32"/>
      <c r="I13" s="32">
        <v>0</v>
      </c>
      <c r="J13" s="32">
        <v>0</v>
      </c>
      <c r="K13" s="32">
        <f t="shared" si="4"/>
        <v>-337528.47</v>
      </c>
      <c r="L13" s="32">
        <f t="shared" si="5"/>
        <v>0</v>
      </c>
      <c r="M13" s="32">
        <f t="shared" si="6"/>
        <v>0</v>
      </c>
      <c r="N13" s="32">
        <f t="shared" si="7"/>
        <v>0</v>
      </c>
      <c r="O13" s="22">
        <f t="shared" si="1"/>
        <v>0</v>
      </c>
      <c r="P13" s="22" t="str">
        <f t="shared" si="2"/>
        <v/>
      </c>
      <c r="Q13" s="22" t="str">
        <f t="shared" si="3"/>
        <v/>
      </c>
      <c r="V13" s="28"/>
    </row>
    <row r="14" spans="1:22" ht="15.75" x14ac:dyDescent="0.25">
      <c r="A14" s="78"/>
      <c r="B14" s="57" t="s">
        <v>21</v>
      </c>
      <c r="C14" s="62" t="s">
        <v>24</v>
      </c>
      <c r="D14" s="2" t="s">
        <v>25</v>
      </c>
      <c r="E14" s="32">
        <v>1113936.03</v>
      </c>
      <c r="F14" s="32">
        <v>2237196.9</v>
      </c>
      <c r="G14" s="32">
        <v>967800</v>
      </c>
      <c r="H14" s="32">
        <v>7000</v>
      </c>
      <c r="I14" s="32">
        <f>923478.07+1793.3</f>
        <v>925271.37</v>
      </c>
      <c r="J14" s="32">
        <f>1627.92+1791.3</f>
        <v>3419.2200000000003</v>
      </c>
      <c r="K14" s="32">
        <f t="shared" si="4"/>
        <v>-188664.66000000003</v>
      </c>
      <c r="L14" s="32">
        <f t="shared" si="5"/>
        <v>-42528.630000000005</v>
      </c>
      <c r="M14" s="32">
        <f t="shared" si="6"/>
        <v>-1311925.5299999998</v>
      </c>
      <c r="N14" s="32">
        <f t="shared" si="7"/>
        <v>-3580.7799999999997</v>
      </c>
      <c r="O14" s="22">
        <f t="shared" si="1"/>
        <v>0.8306324107318801</v>
      </c>
      <c r="P14" s="22">
        <f t="shared" si="2"/>
        <v>0.95605638561686301</v>
      </c>
      <c r="Q14" s="22">
        <f t="shared" si="3"/>
        <v>0.41358512967723138</v>
      </c>
      <c r="V14" s="28"/>
    </row>
    <row r="15" spans="1:22" ht="15.75" x14ac:dyDescent="0.25">
      <c r="A15" s="78"/>
      <c r="B15" s="57" t="s">
        <v>26</v>
      </c>
      <c r="C15" s="62" t="s">
        <v>27</v>
      </c>
      <c r="D15" s="2" t="s">
        <v>28</v>
      </c>
      <c r="E15" s="32">
        <v>105977.73</v>
      </c>
      <c r="F15" s="32">
        <v>228385.6</v>
      </c>
      <c r="G15" s="32">
        <v>107470.6</v>
      </c>
      <c r="H15" s="32">
        <v>19325.599999999999</v>
      </c>
      <c r="I15" s="32">
        <f>94834.04+812.9</f>
        <v>95646.939999999988</v>
      </c>
      <c r="J15" s="32">
        <f>17051.81+812.9</f>
        <v>17864.710000000003</v>
      </c>
      <c r="K15" s="32">
        <f t="shared" si="4"/>
        <v>-10330.790000000008</v>
      </c>
      <c r="L15" s="32">
        <f t="shared" si="5"/>
        <v>-11823.660000000018</v>
      </c>
      <c r="M15" s="32">
        <f t="shared" si="6"/>
        <v>-132738.66000000003</v>
      </c>
      <c r="N15" s="32">
        <f t="shared" si="7"/>
        <v>-1460.8899999999958</v>
      </c>
      <c r="O15" s="22">
        <f t="shared" si="1"/>
        <v>0.9025192368245667</v>
      </c>
      <c r="P15" s="22">
        <f t="shared" si="2"/>
        <v>0.88998237657554702</v>
      </c>
      <c r="Q15" s="22">
        <f t="shared" si="3"/>
        <v>0.41879584352078231</v>
      </c>
      <c r="V15" s="28"/>
    </row>
    <row r="16" spans="1:22" ht="15.75" x14ac:dyDescent="0.25">
      <c r="A16" s="78"/>
      <c r="B16" s="57" t="s">
        <v>21</v>
      </c>
      <c r="C16" s="62" t="s">
        <v>29</v>
      </c>
      <c r="D16" s="2" t="s">
        <v>30</v>
      </c>
      <c r="E16" s="32">
        <v>18.059999999999999</v>
      </c>
      <c r="F16" s="32"/>
      <c r="G16" s="32"/>
      <c r="H16" s="32"/>
      <c r="I16" s="32">
        <v>-0.1</v>
      </c>
      <c r="J16" s="32">
        <v>0</v>
      </c>
      <c r="K16" s="32">
        <f t="shared" si="4"/>
        <v>-18.16</v>
      </c>
      <c r="L16" s="32">
        <f t="shared" si="5"/>
        <v>-0.1</v>
      </c>
      <c r="M16" s="32">
        <f t="shared" si="6"/>
        <v>-0.1</v>
      </c>
      <c r="N16" s="32">
        <f t="shared" si="7"/>
        <v>0</v>
      </c>
      <c r="O16" s="22">
        <f t="shared" si="1"/>
        <v>-5.5370985603543747E-3</v>
      </c>
      <c r="P16" s="22" t="str">
        <f t="shared" si="2"/>
        <v/>
      </c>
      <c r="Q16" s="22" t="str">
        <f t="shared" si="3"/>
        <v/>
      </c>
      <c r="V16" s="28"/>
    </row>
    <row r="17" spans="1:22" ht="15.75" x14ac:dyDescent="0.25">
      <c r="A17" s="79"/>
      <c r="B17" s="46"/>
      <c r="C17" s="69"/>
      <c r="D17" s="48" t="s">
        <v>11</v>
      </c>
      <c r="E17" s="38">
        <f>SUM(E6:E16)</f>
        <v>7016324.9299999988</v>
      </c>
      <c r="F17" s="38">
        <f>SUM(F6:F16)</f>
        <v>20001705.400000002</v>
      </c>
      <c r="G17" s="38">
        <f>SUM(G6:G16)</f>
        <v>7773427.0000000009</v>
      </c>
      <c r="H17" s="38">
        <f>SUM(H6:H16)</f>
        <v>1171681.0000000002</v>
      </c>
      <c r="I17" s="38">
        <f>7246708.19+14023.2</f>
        <v>7260731.3900000006</v>
      </c>
      <c r="J17" s="38">
        <f>1357341.6+14023.2</f>
        <v>1371364.8</v>
      </c>
      <c r="K17" s="38">
        <f>SUM(K6:K16)</f>
        <v>244408.36000000016</v>
      </c>
      <c r="L17" s="38">
        <f t="shared" si="5"/>
        <v>-512695.61000000034</v>
      </c>
      <c r="M17" s="38">
        <f t="shared" si="6"/>
        <v>-12740974.010000002</v>
      </c>
      <c r="N17" s="38">
        <f>J17-H17</f>
        <v>199683.79999999981</v>
      </c>
      <c r="O17" s="49">
        <f t="shared" si="1"/>
        <v>1.0348339711228285</v>
      </c>
      <c r="P17" s="49">
        <f t="shared" si="2"/>
        <v>0.93404509877046504</v>
      </c>
      <c r="Q17" s="49">
        <f t="shared" si="3"/>
        <v>0.36300561601112274</v>
      </c>
      <c r="V17" s="28"/>
    </row>
    <row r="18" spans="1:22" ht="15.75" x14ac:dyDescent="0.25">
      <c r="A18" s="58" t="s">
        <v>102</v>
      </c>
      <c r="B18" s="57" t="s">
        <v>32</v>
      </c>
      <c r="C18" s="62" t="s">
        <v>34</v>
      </c>
      <c r="D18" s="2" t="s">
        <v>35</v>
      </c>
      <c r="E18" s="32">
        <v>32</v>
      </c>
      <c r="F18" s="32">
        <v>140</v>
      </c>
      <c r="G18" s="32">
        <v>70</v>
      </c>
      <c r="H18" s="32">
        <v>15</v>
      </c>
      <c r="I18" s="32">
        <v>32</v>
      </c>
      <c r="J18" s="32">
        <v>4</v>
      </c>
      <c r="K18" s="32">
        <f t="shared" si="4"/>
        <v>0</v>
      </c>
      <c r="L18" s="32">
        <f t="shared" si="5"/>
        <v>-38</v>
      </c>
      <c r="M18" s="32">
        <f t="shared" si="6"/>
        <v>-108</v>
      </c>
      <c r="N18" s="32">
        <f t="shared" si="7"/>
        <v>-11</v>
      </c>
      <c r="O18" s="22">
        <f t="shared" si="1"/>
        <v>1</v>
      </c>
      <c r="P18" s="22">
        <f t="shared" si="2"/>
        <v>0.45714285714285713</v>
      </c>
      <c r="Q18" s="22">
        <f t="shared" si="3"/>
        <v>0.22857142857142856</v>
      </c>
      <c r="V18" s="28"/>
    </row>
    <row r="19" spans="1:22" ht="19.5" customHeight="1" x14ac:dyDescent="0.25">
      <c r="A19" s="58" t="s">
        <v>31</v>
      </c>
      <c r="B19" s="57" t="s">
        <v>32</v>
      </c>
      <c r="C19" s="62" t="s">
        <v>33</v>
      </c>
      <c r="D19" s="2" t="s">
        <v>140</v>
      </c>
      <c r="E19" s="32">
        <v>122.2</v>
      </c>
      <c r="F19" s="32"/>
      <c r="G19" s="32"/>
      <c r="H19" s="32"/>
      <c r="I19" s="32">
        <v>55.2</v>
      </c>
      <c r="J19" s="32">
        <v>3.2</v>
      </c>
      <c r="K19" s="32">
        <f t="shared" si="4"/>
        <v>-67</v>
      </c>
      <c r="L19" s="32">
        <f t="shared" si="5"/>
        <v>55.2</v>
      </c>
      <c r="M19" s="32">
        <f t="shared" si="6"/>
        <v>55.2</v>
      </c>
      <c r="N19" s="32">
        <f t="shared" si="7"/>
        <v>3.2</v>
      </c>
      <c r="O19" s="22">
        <f t="shared" si="1"/>
        <v>0.45171849427168576</v>
      </c>
      <c r="P19" s="22" t="str">
        <f t="shared" si="2"/>
        <v/>
      </c>
      <c r="Q19" s="22" t="str">
        <f t="shared" si="3"/>
        <v/>
      </c>
      <c r="V19" s="28"/>
    </row>
    <row r="20" spans="1:22" ht="31.5" x14ac:dyDescent="0.25">
      <c r="A20" s="59" t="s">
        <v>38</v>
      </c>
      <c r="B20" s="60" t="s">
        <v>104</v>
      </c>
      <c r="C20" s="62" t="s">
        <v>39</v>
      </c>
      <c r="D20" s="2" t="s">
        <v>40</v>
      </c>
      <c r="E20" s="32">
        <v>483.2</v>
      </c>
      <c r="F20" s="32">
        <v>969.6</v>
      </c>
      <c r="G20" s="32">
        <v>502</v>
      </c>
      <c r="H20" s="32">
        <v>80</v>
      </c>
      <c r="I20" s="32">
        <v>-2.48</v>
      </c>
      <c r="J20" s="32">
        <v>-8.8800000000000008</v>
      </c>
      <c r="K20" s="32">
        <f t="shared" si="4"/>
        <v>-485.68</v>
      </c>
      <c r="L20" s="32">
        <f t="shared" si="5"/>
        <v>-504.48</v>
      </c>
      <c r="M20" s="32">
        <f t="shared" si="6"/>
        <v>-972.08</v>
      </c>
      <c r="N20" s="32">
        <f t="shared" si="7"/>
        <v>-88.88</v>
      </c>
      <c r="O20" s="22">
        <f t="shared" si="1"/>
        <v>-5.1324503311258275E-3</v>
      </c>
      <c r="P20" s="22">
        <f t="shared" si="2"/>
        <v>-4.9402390438247007E-3</v>
      </c>
      <c r="Q20" s="22">
        <f t="shared" si="3"/>
        <v>-2.5577557755775576E-3</v>
      </c>
      <c r="V20" s="28"/>
    </row>
    <row r="21" spans="1:22" ht="15.75" x14ac:dyDescent="0.25">
      <c r="A21" s="58" t="s">
        <v>36</v>
      </c>
      <c r="B21" s="57" t="s">
        <v>13</v>
      </c>
      <c r="C21" s="62" t="s">
        <v>37</v>
      </c>
      <c r="D21" s="2" t="s">
        <v>106</v>
      </c>
      <c r="E21" s="32">
        <v>35</v>
      </c>
      <c r="F21" s="32">
        <v>120</v>
      </c>
      <c r="G21" s="32">
        <v>40</v>
      </c>
      <c r="H21" s="32">
        <v>10</v>
      </c>
      <c r="I21" s="32">
        <v>55</v>
      </c>
      <c r="J21" s="32">
        <v>35</v>
      </c>
      <c r="K21" s="32">
        <f t="shared" si="4"/>
        <v>20</v>
      </c>
      <c r="L21" s="32">
        <f t="shared" si="5"/>
        <v>15</v>
      </c>
      <c r="M21" s="32">
        <f t="shared" si="6"/>
        <v>-65</v>
      </c>
      <c r="N21" s="32">
        <f t="shared" si="7"/>
        <v>25</v>
      </c>
      <c r="O21" s="22">
        <f t="shared" si="1"/>
        <v>1.5714285714285714</v>
      </c>
      <c r="P21" s="22">
        <f t="shared" si="2"/>
        <v>1.375</v>
      </c>
      <c r="Q21" s="22">
        <f t="shared" si="3"/>
        <v>0.45833333333333331</v>
      </c>
      <c r="V21" s="28"/>
    </row>
    <row r="22" spans="1:22" ht="27.75" customHeight="1" x14ac:dyDescent="0.2">
      <c r="A22" s="83"/>
      <c r="B22" s="83"/>
      <c r="C22" s="84"/>
      <c r="D22" s="50" t="s">
        <v>41</v>
      </c>
      <c r="E22" s="39">
        <f t="shared" ref="E22:K22" si="8">E26+E29+E37+E47+E49+E54+E57+E59+E68</f>
        <v>2775327.0399999996</v>
      </c>
      <c r="F22" s="39">
        <f t="shared" si="8"/>
        <v>6567862.9299999997</v>
      </c>
      <c r="G22" s="39">
        <f t="shared" si="8"/>
        <v>3106603.6100000003</v>
      </c>
      <c r="H22" s="39">
        <f t="shared" si="8"/>
        <v>616166.19999999995</v>
      </c>
      <c r="I22" s="39">
        <f t="shared" si="8"/>
        <v>3455972.6900000004</v>
      </c>
      <c r="J22" s="39">
        <f t="shared" si="8"/>
        <v>585198.53000000014</v>
      </c>
      <c r="K22" s="39">
        <f t="shared" si="8"/>
        <v>658284.24</v>
      </c>
      <c r="L22" s="39">
        <f t="shared" si="5"/>
        <v>349369.08000000007</v>
      </c>
      <c r="M22" s="39">
        <f t="shared" si="6"/>
        <v>-3111890.2399999993</v>
      </c>
      <c r="N22" s="39">
        <f t="shared" si="7"/>
        <v>-30967.669999999809</v>
      </c>
      <c r="O22" s="25">
        <f t="shared" si="1"/>
        <v>1.2452488085872579</v>
      </c>
      <c r="P22" s="25">
        <f t="shared" si="2"/>
        <v>1.1124601409962309</v>
      </c>
      <c r="Q22" s="25">
        <f t="shared" si="3"/>
        <v>0.52619439943153634</v>
      </c>
      <c r="U22" s="3"/>
      <c r="V22" s="28"/>
    </row>
    <row r="23" spans="1:22" ht="15.75" x14ac:dyDescent="0.25">
      <c r="A23" s="77" t="s">
        <v>38</v>
      </c>
      <c r="B23" s="80" t="s">
        <v>104</v>
      </c>
      <c r="C23" s="63" t="s">
        <v>72</v>
      </c>
      <c r="D23" s="4" t="s">
        <v>142</v>
      </c>
      <c r="E23" s="32">
        <v>54839.58</v>
      </c>
      <c r="F23" s="34">
        <f>135475.5+25225.6</f>
        <v>160701.1</v>
      </c>
      <c r="G23" s="34">
        <v>74050</v>
      </c>
      <c r="H23" s="34">
        <v>13600</v>
      </c>
      <c r="I23" s="34">
        <v>78435.039999999994</v>
      </c>
      <c r="J23" s="34">
        <v>14428.44</v>
      </c>
      <c r="K23" s="34">
        <f t="shared" si="4"/>
        <v>23595.459999999992</v>
      </c>
      <c r="L23" s="34">
        <f t="shared" si="5"/>
        <v>4385.0399999999936</v>
      </c>
      <c r="M23" s="34">
        <f t="shared" si="6"/>
        <v>-82266.060000000012</v>
      </c>
      <c r="N23" s="34">
        <f t="shared" si="7"/>
        <v>828.44000000000051</v>
      </c>
      <c r="O23" s="23">
        <f t="shared" si="1"/>
        <v>1.4302633244091219</v>
      </c>
      <c r="P23" s="23">
        <f t="shared" si="2"/>
        <v>1.0592172856178257</v>
      </c>
      <c r="Q23" s="23">
        <f t="shared" si="3"/>
        <v>0.48808029316538587</v>
      </c>
    </row>
    <row r="24" spans="1:22" ht="15.75" x14ac:dyDescent="0.25">
      <c r="A24" s="78"/>
      <c r="B24" s="81"/>
      <c r="C24" s="62" t="s">
        <v>42</v>
      </c>
      <c r="D24" s="4" t="s">
        <v>43</v>
      </c>
      <c r="E24" s="33">
        <v>3971.23</v>
      </c>
      <c r="F24" s="32">
        <v>39519.1</v>
      </c>
      <c r="G24" s="32">
        <v>39519.1</v>
      </c>
      <c r="H24" s="32">
        <v>0</v>
      </c>
      <c r="I24" s="32">
        <v>39519.14</v>
      </c>
      <c r="J24" s="32">
        <v>0</v>
      </c>
      <c r="K24" s="32">
        <f t="shared" si="4"/>
        <v>35547.909999999996</v>
      </c>
      <c r="L24" s="32">
        <f t="shared" si="5"/>
        <v>4.0000000000873115E-2</v>
      </c>
      <c r="M24" s="32">
        <f t="shared" si="6"/>
        <v>4.0000000000873115E-2</v>
      </c>
      <c r="N24" s="32">
        <f t="shared" si="7"/>
        <v>0</v>
      </c>
      <c r="O24" s="23">
        <f t="shared" si="1"/>
        <v>9.9513601579359534</v>
      </c>
      <c r="P24" s="23">
        <f t="shared" si="2"/>
        <v>1.0000010121687994</v>
      </c>
      <c r="Q24" s="23">
        <f t="shared" si="3"/>
        <v>1.0000010121687994</v>
      </c>
    </row>
    <row r="25" spans="1:22" ht="15.75" x14ac:dyDescent="0.25">
      <c r="A25" s="78"/>
      <c r="B25" s="81"/>
      <c r="C25" s="62" t="s">
        <v>73</v>
      </c>
      <c r="D25" s="4" t="s">
        <v>74</v>
      </c>
      <c r="E25" s="33">
        <v>38903.300000000003</v>
      </c>
      <c r="F25" s="34">
        <f>110819.4+14383.9-8662.9</f>
        <v>116540.4</v>
      </c>
      <c r="G25" s="34">
        <v>48150</v>
      </c>
      <c r="H25" s="34">
        <v>8450</v>
      </c>
      <c r="I25" s="34">
        <v>56801.49</v>
      </c>
      <c r="J25" s="34">
        <v>12710.01</v>
      </c>
      <c r="K25" s="34">
        <f t="shared" si="4"/>
        <v>17898.189999999995</v>
      </c>
      <c r="L25" s="34">
        <f t="shared" si="5"/>
        <v>8651.489999999998</v>
      </c>
      <c r="M25" s="34">
        <f t="shared" si="6"/>
        <v>-59738.909999999996</v>
      </c>
      <c r="N25" s="34">
        <f t="shared" si="7"/>
        <v>4260.01</v>
      </c>
      <c r="O25" s="23">
        <f t="shared" si="1"/>
        <v>1.4600686831194267</v>
      </c>
      <c r="P25" s="23">
        <f t="shared" si="2"/>
        <v>1.1796778816199376</v>
      </c>
      <c r="Q25" s="23">
        <f t="shared" si="3"/>
        <v>0.48739741754790616</v>
      </c>
    </row>
    <row r="26" spans="1:22" ht="15.75" x14ac:dyDescent="0.25">
      <c r="A26" s="79"/>
      <c r="B26" s="82"/>
      <c r="C26" s="69"/>
      <c r="D26" s="48" t="s">
        <v>11</v>
      </c>
      <c r="E26" s="38">
        <f t="shared" ref="E26:L26" si="9">SUM(E23:E25)</f>
        <v>97714.110000000015</v>
      </c>
      <c r="F26" s="38">
        <f t="shared" si="9"/>
        <v>316760.59999999998</v>
      </c>
      <c r="G26" s="38">
        <f t="shared" si="9"/>
        <v>161719.1</v>
      </c>
      <c r="H26" s="38">
        <f t="shared" si="9"/>
        <v>22050</v>
      </c>
      <c r="I26" s="38">
        <f t="shared" si="9"/>
        <v>174755.66999999998</v>
      </c>
      <c r="J26" s="38">
        <f t="shared" si="9"/>
        <v>27138.45</v>
      </c>
      <c r="K26" s="38">
        <f t="shared" si="9"/>
        <v>77041.559999999983</v>
      </c>
      <c r="L26" s="38">
        <f t="shared" si="9"/>
        <v>13036.569999999992</v>
      </c>
      <c r="M26" s="38">
        <f t="shared" si="6"/>
        <v>-142004.93</v>
      </c>
      <c r="N26" s="38">
        <f t="shared" si="7"/>
        <v>5088.4500000000007</v>
      </c>
      <c r="O26" s="51">
        <f t="shared" si="1"/>
        <v>1.7884384353498175</v>
      </c>
      <c r="P26" s="51">
        <f t="shared" si="2"/>
        <v>1.0806124322977309</v>
      </c>
      <c r="Q26" s="51">
        <f t="shared" si="3"/>
        <v>0.55169635996396016</v>
      </c>
    </row>
    <row r="27" spans="1:22" ht="21" x14ac:dyDescent="0.25">
      <c r="A27" s="72">
        <v>951</v>
      </c>
      <c r="B27" s="72" t="s">
        <v>13</v>
      </c>
      <c r="C27" s="64" t="s">
        <v>159</v>
      </c>
      <c r="D27" s="5" t="s">
        <v>45</v>
      </c>
      <c r="E27" s="32">
        <v>39441.42</v>
      </c>
      <c r="F27" s="32">
        <v>91712.1</v>
      </c>
      <c r="G27" s="32">
        <v>41823</v>
      </c>
      <c r="H27" s="32">
        <v>11120</v>
      </c>
      <c r="I27" s="32">
        <v>52960.93</v>
      </c>
      <c r="J27" s="32">
        <v>16531.16</v>
      </c>
      <c r="K27" s="32">
        <f t="shared" si="4"/>
        <v>13519.510000000002</v>
      </c>
      <c r="L27" s="32">
        <f t="shared" si="5"/>
        <v>11137.93</v>
      </c>
      <c r="M27" s="32">
        <f t="shared" si="6"/>
        <v>-38751.170000000006</v>
      </c>
      <c r="N27" s="32">
        <f t="shared" si="7"/>
        <v>5411.16</v>
      </c>
      <c r="O27" s="23">
        <f t="shared" si="1"/>
        <v>1.342774423436073</v>
      </c>
      <c r="P27" s="23">
        <f t="shared" si="2"/>
        <v>1.2663111206752267</v>
      </c>
      <c r="Q27" s="23">
        <f t="shared" si="3"/>
        <v>0.57746938517382107</v>
      </c>
    </row>
    <row r="28" spans="1:22" ht="15.75" x14ac:dyDescent="0.25">
      <c r="A28" s="72"/>
      <c r="B28" s="72"/>
      <c r="C28" s="62" t="s">
        <v>117</v>
      </c>
      <c r="D28" s="4" t="s">
        <v>47</v>
      </c>
      <c r="E28" s="32">
        <v>4038.35</v>
      </c>
      <c r="F28" s="32">
        <v>14224.9</v>
      </c>
      <c r="G28" s="32">
        <v>2909.6000000000004</v>
      </c>
      <c r="H28" s="32">
        <v>287.5</v>
      </c>
      <c r="I28" s="32">
        <v>4673.9000000000005</v>
      </c>
      <c r="J28" s="32">
        <v>799.4</v>
      </c>
      <c r="K28" s="32">
        <f t="shared" si="4"/>
        <v>635.55000000000064</v>
      </c>
      <c r="L28" s="32">
        <f t="shared" si="5"/>
        <v>1764.3000000000002</v>
      </c>
      <c r="M28" s="32">
        <f t="shared" si="6"/>
        <v>-9551</v>
      </c>
      <c r="N28" s="32">
        <f t="shared" si="7"/>
        <v>511.9</v>
      </c>
      <c r="O28" s="23">
        <f t="shared" si="1"/>
        <v>1.1573786323622273</v>
      </c>
      <c r="P28" s="23">
        <f t="shared" si="2"/>
        <v>1.6063720098982679</v>
      </c>
      <c r="Q28" s="23">
        <f t="shared" si="3"/>
        <v>0.32857172985398847</v>
      </c>
    </row>
    <row r="29" spans="1:22" ht="15.75" x14ac:dyDescent="0.25">
      <c r="A29" s="72"/>
      <c r="B29" s="72"/>
      <c r="C29" s="69"/>
      <c r="D29" s="52" t="s">
        <v>11</v>
      </c>
      <c r="E29" s="38">
        <f t="shared" ref="E29:K29" si="10">E27+E28</f>
        <v>43479.77</v>
      </c>
      <c r="F29" s="38">
        <f t="shared" si="10"/>
        <v>105937</v>
      </c>
      <c r="G29" s="38">
        <f t="shared" si="10"/>
        <v>44732.6</v>
      </c>
      <c r="H29" s="38">
        <f t="shared" si="10"/>
        <v>11407.5</v>
      </c>
      <c r="I29" s="38">
        <f t="shared" si="10"/>
        <v>57634.83</v>
      </c>
      <c r="J29" s="38">
        <f t="shared" si="10"/>
        <v>17330.560000000001</v>
      </c>
      <c r="K29" s="38">
        <f t="shared" si="10"/>
        <v>14155.060000000003</v>
      </c>
      <c r="L29" s="38">
        <f t="shared" si="5"/>
        <v>12902.230000000003</v>
      </c>
      <c r="M29" s="38">
        <f t="shared" si="6"/>
        <v>-48302.17</v>
      </c>
      <c r="N29" s="38">
        <f t="shared" si="7"/>
        <v>5923.0600000000013</v>
      </c>
      <c r="O29" s="51">
        <f t="shared" si="1"/>
        <v>1.3255550799831739</v>
      </c>
      <c r="P29" s="51">
        <f t="shared" si="2"/>
        <v>1.2884301381989869</v>
      </c>
      <c r="Q29" s="51">
        <f t="shared" si="3"/>
        <v>0.54404816069928352</v>
      </c>
    </row>
    <row r="30" spans="1:22" ht="15.75" x14ac:dyDescent="0.25">
      <c r="A30" s="85" t="s">
        <v>48</v>
      </c>
      <c r="B30" s="72" t="s">
        <v>49</v>
      </c>
      <c r="C30" s="62" t="s">
        <v>50</v>
      </c>
      <c r="D30" s="4" t="s">
        <v>51</v>
      </c>
      <c r="E30" s="33">
        <v>1336</v>
      </c>
      <c r="F30" s="33">
        <v>496</v>
      </c>
      <c r="G30" s="33">
        <f>H30</f>
        <v>0</v>
      </c>
      <c r="H30" s="33">
        <v>0</v>
      </c>
      <c r="I30" s="33">
        <v>3566.51</v>
      </c>
      <c r="J30" s="33">
        <v>3566.51</v>
      </c>
      <c r="K30" s="33">
        <f t="shared" si="4"/>
        <v>2230.5100000000002</v>
      </c>
      <c r="L30" s="33">
        <f t="shared" si="5"/>
        <v>3566.51</v>
      </c>
      <c r="M30" s="33">
        <f t="shared" si="6"/>
        <v>3070.51</v>
      </c>
      <c r="N30" s="33">
        <f t="shared" si="7"/>
        <v>3566.51</v>
      </c>
      <c r="O30" s="23">
        <f t="shared" si="1"/>
        <v>2.6695434131736531</v>
      </c>
      <c r="P30" s="23" t="str">
        <f t="shared" si="2"/>
        <v/>
      </c>
      <c r="Q30" s="23">
        <f t="shared" si="3"/>
        <v>7.1905443548387105</v>
      </c>
    </row>
    <row r="31" spans="1:22" ht="15.75" x14ac:dyDescent="0.25">
      <c r="A31" s="85"/>
      <c r="B31" s="72"/>
      <c r="C31" s="62" t="s">
        <v>52</v>
      </c>
      <c r="D31" s="6" t="s">
        <v>53</v>
      </c>
      <c r="E31" s="33">
        <v>34144.79</v>
      </c>
      <c r="F31" s="33">
        <v>100081.7</v>
      </c>
      <c r="G31" s="33">
        <v>47000</v>
      </c>
      <c r="H31" s="33">
        <v>9000</v>
      </c>
      <c r="I31" s="33">
        <v>43647.02</v>
      </c>
      <c r="J31" s="33">
        <v>6944.3499999999995</v>
      </c>
      <c r="K31" s="33">
        <f t="shared" si="4"/>
        <v>9502.2299999999959</v>
      </c>
      <c r="L31" s="33">
        <f t="shared" si="5"/>
        <v>-3352.9800000000032</v>
      </c>
      <c r="M31" s="33">
        <f t="shared" si="6"/>
        <v>-56434.68</v>
      </c>
      <c r="N31" s="33">
        <f t="shared" si="7"/>
        <v>-2055.6500000000005</v>
      </c>
      <c r="O31" s="23">
        <f t="shared" si="1"/>
        <v>1.2782922372637229</v>
      </c>
      <c r="P31" s="23">
        <f t="shared" si="2"/>
        <v>0.92865999999999993</v>
      </c>
      <c r="Q31" s="23">
        <f t="shared" si="3"/>
        <v>0.4361138949478276</v>
      </c>
    </row>
    <row r="32" spans="1:22" ht="15.75" x14ac:dyDescent="0.25">
      <c r="A32" s="85"/>
      <c r="B32" s="72"/>
      <c r="C32" s="63" t="s">
        <v>44</v>
      </c>
      <c r="D32" s="5" t="s">
        <v>54</v>
      </c>
      <c r="E32" s="33">
        <v>1275.28</v>
      </c>
      <c r="F32" s="33">
        <v>557</v>
      </c>
      <c r="G32" s="33">
        <v>278.5</v>
      </c>
      <c r="H32" s="33">
        <v>46.5</v>
      </c>
      <c r="I32" s="33">
        <v>4355.6099999999997</v>
      </c>
      <c r="J32" s="33">
        <v>774.87</v>
      </c>
      <c r="K32" s="33">
        <f t="shared" si="4"/>
        <v>3080.33</v>
      </c>
      <c r="L32" s="33">
        <f t="shared" si="5"/>
        <v>4077.1099999999997</v>
      </c>
      <c r="M32" s="33">
        <f t="shared" si="6"/>
        <v>3798.6099999999997</v>
      </c>
      <c r="N32" s="33">
        <f t="shared" si="7"/>
        <v>728.37</v>
      </c>
      <c r="O32" s="23">
        <f t="shared" si="1"/>
        <v>3.4154146540367605</v>
      </c>
      <c r="P32" s="23">
        <f t="shared" si="2"/>
        <v>15.639533213644523</v>
      </c>
      <c r="Q32" s="23">
        <f t="shared" si="3"/>
        <v>7.8197666068222613</v>
      </c>
    </row>
    <row r="33" spans="1:17" ht="15.75" x14ac:dyDescent="0.25">
      <c r="A33" s="85"/>
      <c r="B33" s="72"/>
      <c r="C33" s="63" t="s">
        <v>55</v>
      </c>
      <c r="D33" s="5" t="s">
        <v>56</v>
      </c>
      <c r="E33" s="32">
        <f>E34+E36+E35</f>
        <v>31442.05</v>
      </c>
      <c r="F33" s="35">
        <f>F34+F36+F35</f>
        <v>200264</v>
      </c>
      <c r="G33" s="35">
        <f>G34+G36+G35</f>
        <v>155084.4</v>
      </c>
      <c r="H33" s="35">
        <f>H34+H36+H35</f>
        <v>9353.7000000000007</v>
      </c>
      <c r="I33" s="35">
        <v>155804.74</v>
      </c>
      <c r="J33" s="35">
        <v>6668.76</v>
      </c>
      <c r="K33" s="35">
        <f t="shared" si="4"/>
        <v>124362.68999999999</v>
      </c>
      <c r="L33" s="35">
        <f t="shared" si="5"/>
        <v>720.33999999999651</v>
      </c>
      <c r="M33" s="35">
        <f t="shared" si="6"/>
        <v>-44459.260000000009</v>
      </c>
      <c r="N33" s="35">
        <f t="shared" si="7"/>
        <v>-2684.9400000000005</v>
      </c>
      <c r="O33" s="23">
        <f t="shared" si="1"/>
        <v>4.955298398164242</v>
      </c>
      <c r="P33" s="23">
        <f t="shared" si="2"/>
        <v>1.0046448256562233</v>
      </c>
      <c r="Q33" s="23">
        <f t="shared" si="3"/>
        <v>0.77799674429752719</v>
      </c>
    </row>
    <row r="34" spans="1:17" ht="15.75" x14ac:dyDescent="0.25">
      <c r="A34" s="85"/>
      <c r="B34" s="72"/>
      <c r="C34" s="65" t="s">
        <v>119</v>
      </c>
      <c r="D34" s="7" t="s">
        <v>57</v>
      </c>
      <c r="E34" s="36">
        <v>13610.88</v>
      </c>
      <c r="F34" s="36">
        <f>48594.6+85630.3+29092.9</f>
        <v>163317.79999999999</v>
      </c>
      <c r="G34" s="36">
        <v>137357.70000000001</v>
      </c>
      <c r="H34" s="36">
        <v>5011.1000000000004</v>
      </c>
      <c r="I34" s="36">
        <v>134396.60999999999</v>
      </c>
      <c r="J34" s="36">
        <v>3394.62</v>
      </c>
      <c r="K34" s="36">
        <f t="shared" si="4"/>
        <v>120785.72999999998</v>
      </c>
      <c r="L34" s="36">
        <f t="shared" si="5"/>
        <v>-2961.0900000000256</v>
      </c>
      <c r="M34" s="36">
        <f t="shared" si="6"/>
        <v>-28921.190000000002</v>
      </c>
      <c r="N34" s="36">
        <f t="shared" si="7"/>
        <v>-1616.4800000000005</v>
      </c>
      <c r="O34" s="23">
        <f t="shared" si="1"/>
        <v>9.8742043130201722</v>
      </c>
      <c r="P34" s="23">
        <f t="shared" si="2"/>
        <v>0.97844248993685812</v>
      </c>
      <c r="Q34" s="23">
        <f t="shared" si="3"/>
        <v>0.82291464861760322</v>
      </c>
    </row>
    <row r="35" spans="1:17" ht="15.75" x14ac:dyDescent="0.25">
      <c r="A35" s="85"/>
      <c r="B35" s="72"/>
      <c r="C35" s="65" t="s">
        <v>120</v>
      </c>
      <c r="D35" s="7" t="s">
        <v>58</v>
      </c>
      <c r="E35" s="36">
        <v>1307.3399999999999</v>
      </c>
      <c r="F35" s="36">
        <v>1867.8</v>
      </c>
      <c r="G35" s="36">
        <v>160.30000000000001</v>
      </c>
      <c r="H35" s="36">
        <v>0</v>
      </c>
      <c r="I35" s="36">
        <v>918.33</v>
      </c>
      <c r="J35" s="36">
        <v>25</v>
      </c>
      <c r="K35" s="36">
        <f t="shared" si="4"/>
        <v>-389.00999999999988</v>
      </c>
      <c r="L35" s="36">
        <f t="shared" si="5"/>
        <v>758.03</v>
      </c>
      <c r="M35" s="36">
        <f t="shared" si="6"/>
        <v>-949.46999999999991</v>
      </c>
      <c r="N35" s="36">
        <f t="shared" si="7"/>
        <v>25</v>
      </c>
      <c r="O35" s="23">
        <f t="shared" si="1"/>
        <v>0.70244159897195835</v>
      </c>
      <c r="P35" s="23">
        <f t="shared" si="2"/>
        <v>5.7288209606986902</v>
      </c>
      <c r="Q35" s="23">
        <f t="shared" si="3"/>
        <v>0.49166398972052688</v>
      </c>
    </row>
    <row r="36" spans="1:17" ht="15.75" x14ac:dyDescent="0.25">
      <c r="A36" s="85"/>
      <c r="B36" s="72"/>
      <c r="C36" s="65" t="s">
        <v>118</v>
      </c>
      <c r="D36" s="7" t="s">
        <v>59</v>
      </c>
      <c r="E36" s="38">
        <v>16523.830000000002</v>
      </c>
      <c r="F36" s="36">
        <f>35078.4+85630.3-85630.3</f>
        <v>35078.400000000009</v>
      </c>
      <c r="G36" s="36">
        <v>17566.400000000001</v>
      </c>
      <c r="H36" s="36">
        <v>4342.6000000000004</v>
      </c>
      <c r="I36" s="36">
        <v>20489.8</v>
      </c>
      <c r="J36" s="36">
        <v>3249.14</v>
      </c>
      <c r="K36" s="36">
        <f t="shared" si="4"/>
        <v>3965.9699999999975</v>
      </c>
      <c r="L36" s="36">
        <f t="shared" si="5"/>
        <v>2923.3999999999978</v>
      </c>
      <c r="M36" s="36">
        <f t="shared" si="6"/>
        <v>-14588.600000000009</v>
      </c>
      <c r="N36" s="36">
        <f t="shared" si="7"/>
        <v>-1093.4600000000005</v>
      </c>
      <c r="O36" s="23">
        <f t="shared" si="1"/>
        <v>1.2400151780791739</v>
      </c>
      <c r="P36" s="23">
        <f t="shared" si="2"/>
        <v>1.1664199836050642</v>
      </c>
      <c r="Q36" s="23">
        <f t="shared" si="3"/>
        <v>0.58411444079547514</v>
      </c>
    </row>
    <row r="37" spans="1:17" ht="15.75" x14ac:dyDescent="0.25">
      <c r="A37" s="85"/>
      <c r="B37" s="85"/>
      <c r="C37" s="69"/>
      <c r="D37" s="52" t="s">
        <v>11</v>
      </c>
      <c r="E37" s="38">
        <f t="shared" ref="E37:K37" si="11">SUM(E30:E33)</f>
        <v>68198.12</v>
      </c>
      <c r="F37" s="38">
        <f t="shared" si="11"/>
        <v>301398.7</v>
      </c>
      <c r="G37" s="38">
        <f t="shared" si="11"/>
        <v>202362.9</v>
      </c>
      <c r="H37" s="38">
        <f t="shared" si="11"/>
        <v>18400.2</v>
      </c>
      <c r="I37" s="38">
        <f t="shared" si="11"/>
        <v>207373.88</v>
      </c>
      <c r="J37" s="38">
        <f t="shared" si="11"/>
        <v>17954.490000000002</v>
      </c>
      <c r="K37" s="38">
        <f t="shared" si="11"/>
        <v>139175.75999999998</v>
      </c>
      <c r="L37" s="38">
        <f t="shared" si="5"/>
        <v>5010.9800000000105</v>
      </c>
      <c r="M37" s="38">
        <f t="shared" si="6"/>
        <v>-94024.82</v>
      </c>
      <c r="N37" s="38">
        <f t="shared" si="7"/>
        <v>-445.70999999999913</v>
      </c>
      <c r="O37" s="51">
        <f t="shared" ref="O37:O68" si="12">IFERROR(I37/E37,"")</f>
        <v>3.0407565487142465</v>
      </c>
      <c r="P37" s="51">
        <f t="shared" ref="P37:P68" si="13">IFERROR(I37/G37,"")</f>
        <v>1.0247623452717864</v>
      </c>
      <c r="Q37" s="51">
        <f t="shared" ref="Q37:Q68" si="14">IFERROR(I37/F37,"")</f>
        <v>0.68803840228906099</v>
      </c>
    </row>
    <row r="38" spans="1:17" ht="31.5" x14ac:dyDescent="0.25">
      <c r="A38" s="85" t="s">
        <v>103</v>
      </c>
      <c r="B38" s="72" t="s">
        <v>21</v>
      </c>
      <c r="C38" s="63" t="s">
        <v>129</v>
      </c>
      <c r="D38" s="5" t="s">
        <v>61</v>
      </c>
      <c r="E38" s="32">
        <v>168941.04</v>
      </c>
      <c r="F38" s="35">
        <v>326627.40000000002</v>
      </c>
      <c r="G38" s="35">
        <v>157000.5</v>
      </c>
      <c r="H38" s="35">
        <v>34800</v>
      </c>
      <c r="I38" s="35">
        <v>158650.08000000002</v>
      </c>
      <c r="J38" s="35">
        <v>49575.99</v>
      </c>
      <c r="K38" s="35">
        <f t="shared" si="4"/>
        <v>-10290.959999999992</v>
      </c>
      <c r="L38" s="35">
        <f t="shared" si="5"/>
        <v>1649.5800000000163</v>
      </c>
      <c r="M38" s="35">
        <f t="shared" si="6"/>
        <v>-167977.32</v>
      </c>
      <c r="N38" s="35">
        <f t="shared" si="7"/>
        <v>14775.989999999998</v>
      </c>
      <c r="O38" s="23">
        <f t="shared" si="12"/>
        <v>0.93908549396878349</v>
      </c>
      <c r="P38" s="23">
        <f t="shared" si="13"/>
        <v>1.0105068455196005</v>
      </c>
      <c r="Q38" s="23">
        <f t="shared" si="14"/>
        <v>0.48572189595851423</v>
      </c>
    </row>
    <row r="39" spans="1:17" ht="21" x14ac:dyDescent="0.25">
      <c r="A39" s="85"/>
      <c r="B39" s="72"/>
      <c r="C39" s="64" t="s">
        <v>158</v>
      </c>
      <c r="D39" s="5" t="s">
        <v>62</v>
      </c>
      <c r="E39" s="32">
        <v>51200.579999999994</v>
      </c>
      <c r="F39" s="35">
        <f>245061.4+9204.6</f>
        <v>254266</v>
      </c>
      <c r="G39" s="35">
        <v>110504.6</v>
      </c>
      <c r="H39" s="35">
        <v>23400</v>
      </c>
      <c r="I39" s="35">
        <v>159642.32</v>
      </c>
      <c r="J39" s="35">
        <v>9395.679999999993</v>
      </c>
      <c r="K39" s="35">
        <f t="shared" si="4"/>
        <v>108441.74000000002</v>
      </c>
      <c r="L39" s="35">
        <f t="shared" si="5"/>
        <v>49137.72</v>
      </c>
      <c r="M39" s="35">
        <f t="shared" si="6"/>
        <v>-94623.679999999993</v>
      </c>
      <c r="N39" s="35">
        <f t="shared" si="7"/>
        <v>-14004.320000000007</v>
      </c>
      <c r="O39" s="23">
        <f t="shared" si="12"/>
        <v>3.1179787416470677</v>
      </c>
      <c r="P39" s="23">
        <f t="shared" si="13"/>
        <v>1.4446667378552567</v>
      </c>
      <c r="Q39" s="23">
        <f t="shared" si="14"/>
        <v>0.62785555284623196</v>
      </c>
    </row>
    <row r="40" spans="1:17" ht="31.5" x14ac:dyDescent="0.25">
      <c r="A40" s="85"/>
      <c r="B40" s="72"/>
      <c r="C40" s="62" t="s">
        <v>132</v>
      </c>
      <c r="D40" s="4" t="s">
        <v>63</v>
      </c>
      <c r="E40" s="32">
        <v>27278.01</v>
      </c>
      <c r="F40" s="32">
        <f>48566.2-5534.78</f>
        <v>43031.42</v>
      </c>
      <c r="G40" s="32">
        <v>20526</v>
      </c>
      <c r="H40" s="32">
        <v>5416</v>
      </c>
      <c r="I40" s="32">
        <v>23859.06</v>
      </c>
      <c r="J40" s="32">
        <v>9695.2900000000009</v>
      </c>
      <c r="K40" s="32">
        <f t="shared" si="4"/>
        <v>-3418.9499999999971</v>
      </c>
      <c r="L40" s="32">
        <f t="shared" si="5"/>
        <v>3333.0600000000013</v>
      </c>
      <c r="M40" s="32">
        <f t="shared" si="6"/>
        <v>-19172.359999999997</v>
      </c>
      <c r="N40" s="32">
        <f t="shared" si="7"/>
        <v>4279.2900000000009</v>
      </c>
      <c r="O40" s="23">
        <f t="shared" si="12"/>
        <v>0.8746627778199364</v>
      </c>
      <c r="P40" s="23">
        <f t="shared" si="13"/>
        <v>1.1623823443437591</v>
      </c>
      <c r="Q40" s="23">
        <f t="shared" si="14"/>
        <v>0.55445672022907921</v>
      </c>
    </row>
    <row r="41" spans="1:17" ht="31.5" x14ac:dyDescent="0.25">
      <c r="A41" s="85"/>
      <c r="B41" s="72"/>
      <c r="C41" s="62" t="s">
        <v>108</v>
      </c>
      <c r="D41" s="4" t="s">
        <v>109</v>
      </c>
      <c r="E41" s="32">
        <v>1600.83</v>
      </c>
      <c r="F41" s="32">
        <v>2948.3</v>
      </c>
      <c r="G41" s="32">
        <v>1689</v>
      </c>
      <c r="H41" s="32">
        <v>276.7</v>
      </c>
      <c r="I41" s="32">
        <v>1855.79</v>
      </c>
      <c r="J41" s="32">
        <v>54.7</v>
      </c>
      <c r="K41" s="32">
        <f t="shared" si="4"/>
        <v>254.96000000000004</v>
      </c>
      <c r="L41" s="32">
        <f t="shared" si="5"/>
        <v>166.78999999999996</v>
      </c>
      <c r="M41" s="32">
        <f t="shared" si="6"/>
        <v>-1092.5100000000002</v>
      </c>
      <c r="N41" s="32">
        <f t="shared" si="7"/>
        <v>-222</v>
      </c>
      <c r="O41" s="23">
        <f t="shared" si="12"/>
        <v>1.1592673800466009</v>
      </c>
      <c r="P41" s="23">
        <f t="shared" si="13"/>
        <v>1.0987507400828893</v>
      </c>
      <c r="Q41" s="23">
        <f t="shared" si="14"/>
        <v>0.62944408642268423</v>
      </c>
    </row>
    <row r="42" spans="1:17" ht="15.75" x14ac:dyDescent="0.25">
      <c r="A42" s="85"/>
      <c r="B42" s="72"/>
      <c r="C42" s="62" t="s">
        <v>152</v>
      </c>
      <c r="D42" s="8" t="s">
        <v>121</v>
      </c>
      <c r="E42" s="32">
        <v>64.59</v>
      </c>
      <c r="F42" s="32">
        <v>0</v>
      </c>
      <c r="G42" s="32">
        <v>0</v>
      </c>
      <c r="H42" s="32">
        <v>0</v>
      </c>
      <c r="I42" s="32">
        <v>150.34</v>
      </c>
      <c r="J42" s="32">
        <v>6.2399999999999993</v>
      </c>
      <c r="K42" s="32">
        <f t="shared" si="4"/>
        <v>85.75</v>
      </c>
      <c r="L42" s="32">
        <f t="shared" si="5"/>
        <v>150.34</v>
      </c>
      <c r="M42" s="32">
        <f t="shared" si="6"/>
        <v>150.34</v>
      </c>
      <c r="N42" s="32">
        <f t="shared" si="7"/>
        <v>6.2399999999999993</v>
      </c>
      <c r="O42" s="23">
        <f t="shared" si="12"/>
        <v>2.3276048923982038</v>
      </c>
      <c r="P42" s="23" t="str">
        <f t="shared" si="13"/>
        <v/>
      </c>
      <c r="Q42" s="23" t="str">
        <f t="shared" si="14"/>
        <v/>
      </c>
    </row>
    <row r="43" spans="1:17" ht="27.75" customHeight="1" x14ac:dyDescent="0.25">
      <c r="A43" s="85"/>
      <c r="B43" s="72"/>
      <c r="C43" s="63" t="s">
        <v>64</v>
      </c>
      <c r="D43" s="5" t="s">
        <v>65</v>
      </c>
      <c r="E43" s="32">
        <v>83205.16</v>
      </c>
      <c r="F43" s="33">
        <v>104142</v>
      </c>
      <c r="G43" s="33">
        <v>44440</v>
      </c>
      <c r="H43" s="33">
        <v>9600</v>
      </c>
      <c r="I43" s="33">
        <v>95416.960000000006</v>
      </c>
      <c r="J43" s="33">
        <v>6854.04</v>
      </c>
      <c r="K43" s="33">
        <f t="shared" si="4"/>
        <v>12211.800000000003</v>
      </c>
      <c r="L43" s="33">
        <f t="shared" si="5"/>
        <v>50976.960000000006</v>
      </c>
      <c r="M43" s="33">
        <f t="shared" si="6"/>
        <v>-8725.0399999999936</v>
      </c>
      <c r="N43" s="33">
        <f t="shared" si="7"/>
        <v>-2745.96</v>
      </c>
      <c r="O43" s="23">
        <f t="shared" si="12"/>
        <v>1.146767339910169</v>
      </c>
      <c r="P43" s="23">
        <f t="shared" si="13"/>
        <v>2.1470963096309634</v>
      </c>
      <c r="Q43" s="23">
        <f t="shared" si="14"/>
        <v>0.91621977684315647</v>
      </c>
    </row>
    <row r="44" spans="1:17" ht="27.75" customHeight="1" x14ac:dyDescent="0.25">
      <c r="A44" s="85"/>
      <c r="B44" s="72"/>
      <c r="C44" s="63" t="s">
        <v>66</v>
      </c>
      <c r="D44" s="5" t="s">
        <v>67</v>
      </c>
      <c r="E44" s="32">
        <v>24860.78</v>
      </c>
      <c r="F44" s="33">
        <v>45272.2</v>
      </c>
      <c r="G44" s="33">
        <v>12800</v>
      </c>
      <c r="H44" s="33">
        <v>2500</v>
      </c>
      <c r="I44" s="33">
        <v>43929.97</v>
      </c>
      <c r="J44" s="33">
        <v>11616.86</v>
      </c>
      <c r="K44" s="33">
        <v>5230.72</v>
      </c>
      <c r="L44" s="33">
        <f t="shared" si="5"/>
        <v>31129.97</v>
      </c>
      <c r="M44" s="33">
        <f t="shared" si="6"/>
        <v>-1342.2299999999959</v>
      </c>
      <c r="N44" s="33">
        <f t="shared" si="7"/>
        <v>9116.86</v>
      </c>
      <c r="O44" s="23">
        <f t="shared" si="12"/>
        <v>1.7670390872691848</v>
      </c>
      <c r="P44" s="23">
        <f t="shared" si="13"/>
        <v>3.4320289062500002</v>
      </c>
      <c r="Q44" s="23">
        <f t="shared" si="14"/>
        <v>0.97035200409964628</v>
      </c>
    </row>
    <row r="45" spans="1:17" ht="16.5" customHeight="1" x14ac:dyDescent="0.25">
      <c r="A45" s="85"/>
      <c r="B45" s="72"/>
      <c r="C45" s="62" t="s">
        <v>73</v>
      </c>
      <c r="D45" s="4" t="s">
        <v>74</v>
      </c>
      <c r="E45" s="32">
        <v>7282.5600000000013</v>
      </c>
      <c r="F45" s="33">
        <v>14007.9</v>
      </c>
      <c r="G45" s="33">
        <v>5563.8</v>
      </c>
      <c r="H45" s="33">
        <v>2831.9</v>
      </c>
      <c r="I45" s="33">
        <v>5591.81</v>
      </c>
      <c r="J45" s="33">
        <v>1276.2600000000002</v>
      </c>
      <c r="K45" s="33">
        <v>5230.72</v>
      </c>
      <c r="L45" s="33">
        <f t="shared" si="5"/>
        <v>28.010000000000218</v>
      </c>
      <c r="M45" s="33">
        <f t="shared" si="6"/>
        <v>-8416.09</v>
      </c>
      <c r="N45" s="33">
        <f t="shared" si="7"/>
        <v>-1555.6399999999999</v>
      </c>
      <c r="O45" s="23">
        <f t="shared" si="12"/>
        <v>0.76783576105105888</v>
      </c>
      <c r="P45" s="23">
        <f t="shared" si="13"/>
        <v>1.0050343290556814</v>
      </c>
      <c r="Q45" s="23">
        <f t="shared" si="14"/>
        <v>0.3991897429307748</v>
      </c>
    </row>
    <row r="46" spans="1:17" ht="18" customHeight="1" x14ac:dyDescent="0.25">
      <c r="A46" s="85"/>
      <c r="B46" s="72"/>
      <c r="C46" s="62" t="s">
        <v>46</v>
      </c>
      <c r="D46" s="4" t="s">
        <v>151</v>
      </c>
      <c r="E46" s="32">
        <v>-0.69</v>
      </c>
      <c r="F46" s="33">
        <v>0</v>
      </c>
      <c r="G46" s="33">
        <v>0</v>
      </c>
      <c r="H46" s="33">
        <v>0</v>
      </c>
      <c r="I46" s="33">
        <v>20674.439999999999</v>
      </c>
      <c r="J46" s="33">
        <v>4164.25</v>
      </c>
      <c r="K46" s="33">
        <v>5230.72</v>
      </c>
      <c r="L46" s="33">
        <f t="shared" si="5"/>
        <v>20674.439999999999</v>
      </c>
      <c r="M46" s="33">
        <f t="shared" si="6"/>
        <v>20674.439999999999</v>
      </c>
      <c r="N46" s="33">
        <f t="shared" si="7"/>
        <v>4164.25</v>
      </c>
      <c r="O46" s="23">
        <f t="shared" si="12"/>
        <v>-29962.956521739132</v>
      </c>
      <c r="P46" s="23" t="str">
        <f t="shared" si="13"/>
        <v/>
      </c>
      <c r="Q46" s="23" t="str">
        <f t="shared" si="14"/>
        <v/>
      </c>
    </row>
    <row r="47" spans="1:17" ht="15.75" x14ac:dyDescent="0.25">
      <c r="A47" s="85"/>
      <c r="B47" s="85"/>
      <c r="C47" s="70"/>
      <c r="D47" s="52" t="s">
        <v>11</v>
      </c>
      <c r="E47" s="38">
        <f t="shared" ref="E47:K47" si="15">SUM(E38:E46)</f>
        <v>364432.86</v>
      </c>
      <c r="F47" s="38">
        <f t="shared" si="15"/>
        <v>790295.22000000009</v>
      </c>
      <c r="G47" s="38">
        <f t="shared" si="15"/>
        <v>352523.89999999997</v>
      </c>
      <c r="H47" s="38">
        <f t="shared" si="15"/>
        <v>78824.599999999991</v>
      </c>
      <c r="I47" s="38">
        <f>SUM(I38:I46)</f>
        <v>509770.77</v>
      </c>
      <c r="J47" s="38">
        <f>SUM(J38:J46)</f>
        <v>92639.309999999983</v>
      </c>
      <c r="K47" s="38">
        <f t="shared" si="15"/>
        <v>122976.50000000004</v>
      </c>
      <c r="L47" s="38">
        <f t="shared" si="5"/>
        <v>157246.87000000005</v>
      </c>
      <c r="M47" s="38">
        <f t="shared" si="6"/>
        <v>-280524.45000000007</v>
      </c>
      <c r="N47" s="38">
        <f t="shared" si="7"/>
        <v>13814.709999999992</v>
      </c>
      <c r="O47" s="23">
        <f t="shared" si="12"/>
        <v>1.398805722403847</v>
      </c>
      <c r="P47" s="23">
        <f t="shared" si="13"/>
        <v>1.4460601678354292</v>
      </c>
      <c r="Q47" s="23">
        <f t="shared" si="14"/>
        <v>0.64503840729291007</v>
      </c>
    </row>
    <row r="48" spans="1:17" ht="15.75" x14ac:dyDescent="0.25">
      <c r="A48" s="85" t="s">
        <v>68</v>
      </c>
      <c r="B48" s="72" t="s">
        <v>69</v>
      </c>
      <c r="C48" s="62" t="s">
        <v>42</v>
      </c>
      <c r="D48" s="4" t="s">
        <v>43</v>
      </c>
      <c r="E48" s="33">
        <v>8187.13</v>
      </c>
      <c r="F48" s="34">
        <v>2731.1</v>
      </c>
      <c r="G48" s="34">
        <v>2731.1</v>
      </c>
      <c r="H48" s="34">
        <v>0</v>
      </c>
      <c r="I48" s="34">
        <v>2731.14</v>
      </c>
      <c r="J48" s="34">
        <v>0</v>
      </c>
      <c r="K48" s="34">
        <f t="shared" si="4"/>
        <v>-5455.99</v>
      </c>
      <c r="L48" s="34">
        <f t="shared" si="5"/>
        <v>3.999999999996362E-2</v>
      </c>
      <c r="M48" s="34">
        <f t="shared" si="6"/>
        <v>3.999999999996362E-2</v>
      </c>
      <c r="N48" s="34">
        <f t="shared" si="7"/>
        <v>0</v>
      </c>
      <c r="O48" s="23">
        <f t="shared" si="12"/>
        <v>0.33358942633132732</v>
      </c>
      <c r="P48" s="23">
        <f t="shared" si="13"/>
        <v>1.0000146461132877</v>
      </c>
      <c r="Q48" s="23">
        <f t="shared" si="14"/>
        <v>1.0000146461132877</v>
      </c>
    </row>
    <row r="49" spans="1:17" ht="15.75" x14ac:dyDescent="0.25">
      <c r="A49" s="85"/>
      <c r="B49" s="72"/>
      <c r="C49" s="70"/>
      <c r="D49" s="52" t="s">
        <v>11</v>
      </c>
      <c r="E49" s="38">
        <f>E48</f>
        <v>8187.13</v>
      </c>
      <c r="F49" s="38">
        <f t="shared" ref="F49:K49" si="16">SUM(F48:F48)</f>
        <v>2731.1</v>
      </c>
      <c r="G49" s="38">
        <f t="shared" si="16"/>
        <v>2731.1</v>
      </c>
      <c r="H49" s="38">
        <f t="shared" si="16"/>
        <v>0</v>
      </c>
      <c r="I49" s="38">
        <f t="shared" si="16"/>
        <v>2731.14</v>
      </c>
      <c r="J49" s="38">
        <f t="shared" si="16"/>
        <v>0</v>
      </c>
      <c r="K49" s="38">
        <f t="shared" si="16"/>
        <v>-5455.99</v>
      </c>
      <c r="L49" s="53">
        <f t="shared" si="5"/>
        <v>3.999999999996362E-2</v>
      </c>
      <c r="M49" s="53">
        <f t="shared" si="6"/>
        <v>3.999999999996362E-2</v>
      </c>
      <c r="N49" s="53">
        <f t="shared" si="7"/>
        <v>0</v>
      </c>
      <c r="O49" s="23">
        <f t="shared" si="12"/>
        <v>0.33358942633132732</v>
      </c>
      <c r="P49" s="23">
        <f t="shared" si="13"/>
        <v>1.0000146461132877</v>
      </c>
      <c r="Q49" s="23">
        <f t="shared" si="14"/>
        <v>1.0000146461132877</v>
      </c>
    </row>
    <row r="50" spans="1:17" ht="15.75" x14ac:dyDescent="0.25">
      <c r="A50" s="77" t="s">
        <v>71</v>
      </c>
      <c r="B50" s="80" t="s">
        <v>105</v>
      </c>
      <c r="C50" s="66" t="s">
        <v>113</v>
      </c>
      <c r="D50" s="9" t="s">
        <v>131</v>
      </c>
      <c r="E50" s="33">
        <v>191585.99</v>
      </c>
      <c r="F50" s="34">
        <v>636054.36</v>
      </c>
      <c r="G50" s="34">
        <v>264537.26</v>
      </c>
      <c r="H50" s="34">
        <v>38629.199999999997</v>
      </c>
      <c r="I50" s="34">
        <v>274386.32</v>
      </c>
      <c r="J50" s="34">
        <v>33417.74</v>
      </c>
      <c r="K50" s="34">
        <f t="shared" si="4"/>
        <v>82800.330000000016</v>
      </c>
      <c r="L50" s="34">
        <f t="shared" si="5"/>
        <v>9849.0599999999977</v>
      </c>
      <c r="M50" s="34">
        <f t="shared" si="6"/>
        <v>-361668.04</v>
      </c>
      <c r="N50" s="34">
        <f t="shared" si="7"/>
        <v>-5211.4599999999991</v>
      </c>
      <c r="O50" s="23">
        <f t="shared" si="12"/>
        <v>1.432183637227336</v>
      </c>
      <c r="P50" s="23">
        <f t="shared" si="13"/>
        <v>1.0372312769853289</v>
      </c>
      <c r="Q50" s="23">
        <f t="shared" si="14"/>
        <v>0.43138815996796248</v>
      </c>
    </row>
    <row r="51" spans="1:17" ht="15.75" x14ac:dyDescent="0.25">
      <c r="A51" s="78"/>
      <c r="B51" s="81"/>
      <c r="C51" s="66" t="s">
        <v>114</v>
      </c>
      <c r="D51" s="9" t="s">
        <v>110</v>
      </c>
      <c r="E51" s="33">
        <v>128552.04</v>
      </c>
      <c r="F51" s="34">
        <v>415818.1</v>
      </c>
      <c r="G51" s="34">
        <v>175459.8</v>
      </c>
      <c r="H51" s="34">
        <v>27909.200000000001</v>
      </c>
      <c r="I51" s="34">
        <v>167976.94</v>
      </c>
      <c r="J51" s="34">
        <v>24565.08</v>
      </c>
      <c r="K51" s="34">
        <f t="shared" si="4"/>
        <v>39424.900000000009</v>
      </c>
      <c r="L51" s="34">
        <f t="shared" si="5"/>
        <v>-7482.859999999986</v>
      </c>
      <c r="M51" s="34">
        <f t="shared" si="6"/>
        <v>-247841.15999999997</v>
      </c>
      <c r="N51" s="34">
        <f t="shared" si="7"/>
        <v>-3344.119999999999</v>
      </c>
      <c r="O51" s="23">
        <f t="shared" si="12"/>
        <v>1.3066843591124653</v>
      </c>
      <c r="P51" s="23">
        <f t="shared" si="13"/>
        <v>0.95735285233426692</v>
      </c>
      <c r="Q51" s="23">
        <f t="shared" si="14"/>
        <v>0.40396735976620551</v>
      </c>
    </row>
    <row r="52" spans="1:17" ht="15.75" x14ac:dyDescent="0.25">
      <c r="A52" s="78"/>
      <c r="B52" s="81"/>
      <c r="C52" s="66" t="s">
        <v>115</v>
      </c>
      <c r="D52" s="9" t="s">
        <v>111</v>
      </c>
      <c r="E52" s="33">
        <v>1756834.29</v>
      </c>
      <c r="F52" s="34">
        <v>3830717.65</v>
      </c>
      <c r="G52" s="34">
        <v>1824007.75</v>
      </c>
      <c r="H52" s="34">
        <v>405809.5</v>
      </c>
      <c r="I52" s="34">
        <v>1898251.73</v>
      </c>
      <c r="J52" s="34">
        <v>324117.74000000005</v>
      </c>
      <c r="K52" s="34">
        <f t="shared" si="4"/>
        <v>141417.43999999994</v>
      </c>
      <c r="L52" s="34">
        <f t="shared" si="5"/>
        <v>74243.979999999981</v>
      </c>
      <c r="M52" s="34">
        <f t="shared" si="6"/>
        <v>-1932465.92</v>
      </c>
      <c r="N52" s="34">
        <f t="shared" si="7"/>
        <v>-81691.759999999951</v>
      </c>
      <c r="O52" s="23">
        <f t="shared" si="12"/>
        <v>1.0804956055360235</v>
      </c>
      <c r="P52" s="23">
        <f t="shared" si="13"/>
        <v>1.0407037634571454</v>
      </c>
      <c r="Q52" s="23">
        <f t="shared" si="14"/>
        <v>0.49553423233894567</v>
      </c>
    </row>
    <row r="53" spans="1:17" ht="15.75" x14ac:dyDescent="0.25">
      <c r="A53" s="78"/>
      <c r="B53" s="81"/>
      <c r="C53" s="66" t="s">
        <v>128</v>
      </c>
      <c r="D53" s="9" t="s">
        <v>112</v>
      </c>
      <c r="E53" s="33">
        <v>1220.24</v>
      </c>
      <c r="F53" s="34">
        <v>0</v>
      </c>
      <c r="G53" s="34">
        <v>0</v>
      </c>
      <c r="H53" s="34">
        <v>0</v>
      </c>
      <c r="I53" s="34">
        <v>591.41</v>
      </c>
      <c r="J53" s="34">
        <v>80.19</v>
      </c>
      <c r="K53" s="34">
        <f t="shared" si="4"/>
        <v>-628.83000000000004</v>
      </c>
      <c r="L53" s="34">
        <f t="shared" si="5"/>
        <v>591.41</v>
      </c>
      <c r="M53" s="34">
        <f t="shared" si="6"/>
        <v>591.41</v>
      </c>
      <c r="N53" s="34">
        <f t="shared" si="7"/>
        <v>80.19</v>
      </c>
      <c r="O53" s="23">
        <f t="shared" si="12"/>
        <v>0.48466695076378413</v>
      </c>
      <c r="P53" s="23" t="str">
        <f t="shared" si="13"/>
        <v/>
      </c>
      <c r="Q53" s="23" t="str">
        <f t="shared" si="14"/>
        <v/>
      </c>
    </row>
    <row r="54" spans="1:17" ht="15.75" x14ac:dyDescent="0.25">
      <c r="A54" s="79"/>
      <c r="B54" s="82"/>
      <c r="C54" s="71"/>
      <c r="D54" s="54" t="s">
        <v>11</v>
      </c>
      <c r="E54" s="38">
        <f t="shared" ref="E54:K54" si="17">SUM(E50:E53)</f>
        <v>2078192.56</v>
      </c>
      <c r="F54" s="38">
        <f t="shared" si="17"/>
        <v>4882590.1099999994</v>
      </c>
      <c r="G54" s="38">
        <f t="shared" si="17"/>
        <v>2264004.81</v>
      </c>
      <c r="H54" s="38">
        <f t="shared" si="17"/>
        <v>472347.9</v>
      </c>
      <c r="I54" s="38">
        <f>SUM(I50:I53)</f>
        <v>2341206.4000000004</v>
      </c>
      <c r="J54" s="38">
        <f>SUM(J50:J53)</f>
        <v>382180.75000000006</v>
      </c>
      <c r="K54" s="38">
        <f t="shared" si="17"/>
        <v>263013.83999999997</v>
      </c>
      <c r="L54" s="38">
        <f t="shared" si="5"/>
        <v>77201.590000000317</v>
      </c>
      <c r="M54" s="38">
        <f t="shared" si="6"/>
        <v>-2541383.709999999</v>
      </c>
      <c r="N54" s="38">
        <f t="shared" si="7"/>
        <v>-90167.149999999965</v>
      </c>
      <c r="O54" s="23">
        <f t="shared" si="12"/>
        <v>1.1265589363865303</v>
      </c>
      <c r="P54" s="23">
        <f t="shared" si="13"/>
        <v>1.0340995697796245</v>
      </c>
      <c r="Q54" s="23">
        <f t="shared" si="14"/>
        <v>0.47950090981526211</v>
      </c>
    </row>
    <row r="55" spans="1:17" ht="15.75" x14ac:dyDescent="0.25">
      <c r="A55" s="86">
        <v>991</v>
      </c>
      <c r="B55" s="86" t="s">
        <v>75</v>
      </c>
      <c r="C55" s="63" t="s">
        <v>44</v>
      </c>
      <c r="D55" s="5" t="s">
        <v>76</v>
      </c>
      <c r="E55" s="32">
        <v>26503.52</v>
      </c>
      <c r="F55" s="32">
        <v>54298.2</v>
      </c>
      <c r="G55" s="32">
        <v>25700</v>
      </c>
      <c r="H55" s="32">
        <v>4500</v>
      </c>
      <c r="I55" s="32">
        <v>26798.14</v>
      </c>
      <c r="J55" s="32">
        <v>4712.8900000000003</v>
      </c>
      <c r="K55" s="32">
        <f t="shared" si="4"/>
        <v>294.61999999999898</v>
      </c>
      <c r="L55" s="32">
        <f t="shared" si="5"/>
        <v>1098.1399999999994</v>
      </c>
      <c r="M55" s="32">
        <f t="shared" si="6"/>
        <v>-27500.059999999998</v>
      </c>
      <c r="N55" s="32">
        <f t="shared" si="7"/>
        <v>212.89000000000033</v>
      </c>
      <c r="O55" s="23">
        <f t="shared" si="12"/>
        <v>1.0111162592742398</v>
      </c>
      <c r="P55" s="23">
        <f t="shared" si="13"/>
        <v>1.0427291828793774</v>
      </c>
      <c r="Q55" s="23">
        <f t="shared" si="14"/>
        <v>0.4935364339886037</v>
      </c>
    </row>
    <row r="56" spans="1:17" ht="15.75" x14ac:dyDescent="0.25">
      <c r="A56" s="86"/>
      <c r="B56" s="86"/>
      <c r="C56" s="62" t="s">
        <v>77</v>
      </c>
      <c r="D56" s="4" t="s">
        <v>78</v>
      </c>
      <c r="E56" s="32">
        <v>1849</v>
      </c>
      <c r="F56" s="32">
        <v>0</v>
      </c>
      <c r="G56" s="32">
        <v>0</v>
      </c>
      <c r="H56" s="32">
        <v>0</v>
      </c>
      <c r="I56" s="32">
        <v>3607.19</v>
      </c>
      <c r="J56" s="32">
        <v>220.5</v>
      </c>
      <c r="K56" s="32">
        <f t="shared" si="4"/>
        <v>1758.19</v>
      </c>
      <c r="L56" s="32">
        <f t="shared" si="5"/>
        <v>3607.19</v>
      </c>
      <c r="M56" s="32">
        <f t="shared" si="6"/>
        <v>3607.19</v>
      </c>
      <c r="N56" s="32">
        <f t="shared" si="7"/>
        <v>220.5</v>
      </c>
      <c r="O56" s="23">
        <f t="shared" si="12"/>
        <v>1.9508869659275285</v>
      </c>
      <c r="P56" s="23" t="str">
        <f t="shared" si="13"/>
        <v/>
      </c>
      <c r="Q56" s="23" t="str">
        <f t="shared" si="14"/>
        <v/>
      </c>
    </row>
    <row r="57" spans="1:17" ht="15.75" x14ac:dyDescent="0.25">
      <c r="A57" s="86"/>
      <c r="B57" s="86"/>
      <c r="C57" s="70"/>
      <c r="D57" s="52" t="s">
        <v>11</v>
      </c>
      <c r="E57" s="38">
        <f t="shared" ref="E57:K57" si="18">SUM(E55:E56)</f>
        <v>28352.52</v>
      </c>
      <c r="F57" s="38">
        <f t="shared" si="18"/>
        <v>54298.2</v>
      </c>
      <c r="G57" s="38">
        <f t="shared" si="18"/>
        <v>25700</v>
      </c>
      <c r="H57" s="38">
        <f t="shared" si="18"/>
        <v>4500</v>
      </c>
      <c r="I57" s="38">
        <f>SUM(I55:I56)</f>
        <v>30405.329999999998</v>
      </c>
      <c r="J57" s="38">
        <f>SUM(J55:J56)</f>
        <v>4933.3900000000003</v>
      </c>
      <c r="K57" s="38">
        <f t="shared" si="18"/>
        <v>2052.809999999999</v>
      </c>
      <c r="L57" s="38">
        <f t="shared" si="5"/>
        <v>4705.3299999999981</v>
      </c>
      <c r="M57" s="38">
        <f t="shared" si="6"/>
        <v>-23892.87</v>
      </c>
      <c r="N57" s="38">
        <f t="shared" si="7"/>
        <v>433.39000000000033</v>
      </c>
      <c r="O57" s="51">
        <f t="shared" si="12"/>
        <v>1.072403087979481</v>
      </c>
      <c r="P57" s="23">
        <f t="shared" si="13"/>
        <v>1.1830867704280155</v>
      </c>
      <c r="Q57" s="51">
        <f t="shared" si="14"/>
        <v>0.55996939125053868</v>
      </c>
    </row>
    <row r="58" spans="1:17" ht="15.75" x14ac:dyDescent="0.25">
      <c r="A58" s="85" t="s">
        <v>79</v>
      </c>
      <c r="B58" s="72" t="s">
        <v>80</v>
      </c>
      <c r="C58" s="62" t="s">
        <v>81</v>
      </c>
      <c r="D58" s="4" t="s">
        <v>82</v>
      </c>
      <c r="E58" s="32">
        <v>2753.32</v>
      </c>
      <c r="F58" s="32">
        <v>7767.5</v>
      </c>
      <c r="G58" s="32">
        <v>3895</v>
      </c>
      <c r="H58" s="32">
        <v>231.5</v>
      </c>
      <c r="I58" s="32">
        <v>6789.7900000000009</v>
      </c>
      <c r="J58" s="32">
        <v>222.05999999999997</v>
      </c>
      <c r="K58" s="32">
        <f t="shared" si="4"/>
        <v>4036.4700000000007</v>
      </c>
      <c r="L58" s="32">
        <f t="shared" si="5"/>
        <v>2894.7900000000009</v>
      </c>
      <c r="M58" s="32">
        <f t="shared" si="6"/>
        <v>-977.70999999999913</v>
      </c>
      <c r="N58" s="32">
        <f t="shared" si="7"/>
        <v>-9.4400000000000261</v>
      </c>
      <c r="O58" s="23">
        <f t="shared" si="12"/>
        <v>2.4660373657983818</v>
      </c>
      <c r="P58" s="23">
        <f t="shared" si="13"/>
        <v>1.7432066752246471</v>
      </c>
      <c r="Q58" s="23">
        <f t="shared" si="14"/>
        <v>0.87412809784357914</v>
      </c>
    </row>
    <row r="59" spans="1:17" ht="15.75" x14ac:dyDescent="0.25">
      <c r="A59" s="85"/>
      <c r="B59" s="72"/>
      <c r="C59" s="69"/>
      <c r="D59" s="52" t="s">
        <v>11</v>
      </c>
      <c r="E59" s="38">
        <f t="shared" ref="E59:K59" si="19">E58</f>
        <v>2753.32</v>
      </c>
      <c r="F59" s="53">
        <f t="shared" si="19"/>
        <v>7767.5</v>
      </c>
      <c r="G59" s="53">
        <f t="shared" si="19"/>
        <v>3895</v>
      </c>
      <c r="H59" s="53">
        <f t="shared" si="19"/>
        <v>231.5</v>
      </c>
      <c r="I59" s="53">
        <f t="shared" si="19"/>
        <v>6789.7900000000009</v>
      </c>
      <c r="J59" s="53">
        <f t="shared" si="19"/>
        <v>222.05999999999997</v>
      </c>
      <c r="K59" s="53">
        <f t="shared" si="19"/>
        <v>4036.4700000000007</v>
      </c>
      <c r="L59" s="53">
        <f t="shared" si="5"/>
        <v>2894.7900000000009</v>
      </c>
      <c r="M59" s="53">
        <f t="shared" si="6"/>
        <v>-977.70999999999913</v>
      </c>
      <c r="N59" s="53">
        <f t="shared" si="7"/>
        <v>-9.4400000000000261</v>
      </c>
      <c r="O59" s="51">
        <f t="shared" si="12"/>
        <v>2.4660373657983818</v>
      </c>
      <c r="P59" s="51">
        <f t="shared" si="13"/>
        <v>1.7432066752246471</v>
      </c>
      <c r="Q59" s="51">
        <f t="shared" si="14"/>
        <v>0.87412809784357914</v>
      </c>
    </row>
    <row r="60" spans="1:17" ht="15.75" x14ac:dyDescent="0.25">
      <c r="A60" s="72"/>
      <c r="B60" s="72" t="s">
        <v>83</v>
      </c>
      <c r="C60" s="62" t="s">
        <v>107</v>
      </c>
      <c r="D60" s="6" t="s">
        <v>84</v>
      </c>
      <c r="E60" s="32">
        <v>493.21</v>
      </c>
      <c r="F60" s="32">
        <v>41.2</v>
      </c>
      <c r="G60" s="32">
        <v>41.2</v>
      </c>
      <c r="H60" s="32">
        <v>0</v>
      </c>
      <c r="I60" s="32">
        <v>123.68</v>
      </c>
      <c r="J60" s="32">
        <v>40.61</v>
      </c>
      <c r="K60" s="32">
        <f t="shared" ref="K60:K78" si="20">I60-E60</f>
        <v>-369.53</v>
      </c>
      <c r="L60" s="32">
        <f t="shared" si="5"/>
        <v>82.48</v>
      </c>
      <c r="M60" s="32">
        <f t="shared" si="6"/>
        <v>82.48</v>
      </c>
      <c r="N60" s="32">
        <f t="shared" si="7"/>
        <v>40.61</v>
      </c>
      <c r="O60" s="23">
        <f t="shared" si="12"/>
        <v>0.25076539405121551</v>
      </c>
      <c r="P60" s="23">
        <f t="shared" si="13"/>
        <v>3.0019417475728156</v>
      </c>
      <c r="Q60" s="23">
        <f t="shared" si="14"/>
        <v>3.0019417475728156</v>
      </c>
    </row>
    <row r="61" spans="1:17" ht="15.75" x14ac:dyDescent="0.25">
      <c r="A61" s="72"/>
      <c r="B61" s="72"/>
      <c r="C61" s="62" t="s">
        <v>108</v>
      </c>
      <c r="D61" s="4" t="s">
        <v>143</v>
      </c>
      <c r="E61" s="32">
        <v>68.25</v>
      </c>
      <c r="F61" s="32">
        <v>47.1</v>
      </c>
      <c r="G61" s="32">
        <v>47.1</v>
      </c>
      <c r="H61" s="32">
        <v>0</v>
      </c>
      <c r="I61" s="32">
        <v>272.04000000000002</v>
      </c>
      <c r="J61" s="32">
        <v>0</v>
      </c>
      <c r="K61" s="32">
        <f t="shared" si="20"/>
        <v>203.79000000000002</v>
      </c>
      <c r="L61" s="32">
        <f t="shared" si="5"/>
        <v>224.94000000000003</v>
      </c>
      <c r="M61" s="32">
        <f t="shared" si="6"/>
        <v>224.94000000000003</v>
      </c>
      <c r="N61" s="32">
        <f t="shared" si="7"/>
        <v>0</v>
      </c>
      <c r="O61" s="23">
        <f t="shared" si="12"/>
        <v>3.9859340659340661</v>
      </c>
      <c r="P61" s="23">
        <f t="shared" si="13"/>
        <v>5.7757961783439491</v>
      </c>
      <c r="Q61" s="23">
        <f t="shared" si="14"/>
        <v>5.7757961783439491</v>
      </c>
    </row>
    <row r="62" spans="1:17" ht="15.75" x14ac:dyDescent="0.25">
      <c r="A62" s="72"/>
      <c r="B62" s="72"/>
      <c r="C62" s="62" t="s">
        <v>42</v>
      </c>
      <c r="D62" s="4" t="s">
        <v>43</v>
      </c>
      <c r="E62" s="32">
        <v>9531</v>
      </c>
      <c r="F62" s="32">
        <v>7387.5</v>
      </c>
      <c r="G62" s="32">
        <v>7387.5</v>
      </c>
      <c r="H62" s="32">
        <v>0</v>
      </c>
      <c r="I62" s="32">
        <v>7387.5</v>
      </c>
      <c r="J62" s="32">
        <v>0</v>
      </c>
      <c r="K62" s="32">
        <f t="shared" si="20"/>
        <v>-2143.5</v>
      </c>
      <c r="L62" s="32">
        <f t="shared" si="5"/>
        <v>0</v>
      </c>
      <c r="M62" s="32">
        <f t="shared" si="6"/>
        <v>0</v>
      </c>
      <c r="N62" s="32">
        <f t="shared" si="7"/>
        <v>0</v>
      </c>
      <c r="O62" s="23">
        <f t="shared" si="12"/>
        <v>0.77510229776518724</v>
      </c>
      <c r="P62" s="23">
        <f t="shared" si="13"/>
        <v>1</v>
      </c>
      <c r="Q62" s="23">
        <f t="shared" si="14"/>
        <v>1</v>
      </c>
    </row>
    <row r="63" spans="1:17" ht="31.5" x14ac:dyDescent="0.25">
      <c r="A63" s="72"/>
      <c r="B63" s="72"/>
      <c r="C63" s="62" t="s">
        <v>116</v>
      </c>
      <c r="D63" s="8" t="s">
        <v>70</v>
      </c>
      <c r="E63" s="32">
        <v>13715.810000000001</v>
      </c>
      <c r="F63" s="33">
        <v>680.5</v>
      </c>
      <c r="G63" s="33">
        <v>340</v>
      </c>
      <c r="H63" s="33">
        <v>70</v>
      </c>
      <c r="I63" s="33">
        <v>32693.360000000004</v>
      </c>
      <c r="J63" s="33">
        <v>5795.72</v>
      </c>
      <c r="K63" s="33">
        <f t="shared" si="20"/>
        <v>18977.550000000003</v>
      </c>
      <c r="L63" s="33">
        <f t="shared" si="5"/>
        <v>32353.360000000004</v>
      </c>
      <c r="M63" s="33">
        <f t="shared" si="6"/>
        <v>32012.860000000004</v>
      </c>
      <c r="N63" s="33">
        <f t="shared" si="7"/>
        <v>5725.72</v>
      </c>
      <c r="O63" s="23">
        <f t="shared" si="12"/>
        <v>2.3836259032459624</v>
      </c>
      <c r="P63" s="23">
        <f t="shared" si="13"/>
        <v>96.156941176470596</v>
      </c>
      <c r="Q63" s="23">
        <f t="shared" si="14"/>
        <v>48.043144746509924</v>
      </c>
    </row>
    <row r="64" spans="1:17" ht="15.75" x14ac:dyDescent="0.25">
      <c r="A64" s="72"/>
      <c r="B64" s="72"/>
      <c r="C64" s="62" t="s">
        <v>73</v>
      </c>
      <c r="D64" s="4" t="s">
        <v>74</v>
      </c>
      <c r="E64" s="33">
        <v>46250.349999999991</v>
      </c>
      <c r="F64" s="33">
        <f>86939.9+8662.9-14007.9</f>
        <v>81594.899999999994</v>
      </c>
      <c r="G64" s="33">
        <v>37168.300000000003</v>
      </c>
      <c r="H64" s="33">
        <v>7284.5</v>
      </c>
      <c r="I64" s="33">
        <v>49934.809999999983</v>
      </c>
      <c r="J64" s="33">
        <v>11409.899999999987</v>
      </c>
      <c r="K64" s="33">
        <f t="shared" si="20"/>
        <v>3684.4599999999919</v>
      </c>
      <c r="L64" s="33">
        <f t="shared" si="5"/>
        <v>12766.50999999998</v>
      </c>
      <c r="M64" s="33">
        <f t="shared" si="6"/>
        <v>-31660.090000000011</v>
      </c>
      <c r="N64" s="33">
        <f t="shared" si="7"/>
        <v>4125.3999999999869</v>
      </c>
      <c r="O64" s="23">
        <f t="shared" si="12"/>
        <v>1.0796633971418592</v>
      </c>
      <c r="P64" s="23">
        <f t="shared" si="13"/>
        <v>1.3434784480323281</v>
      </c>
      <c r="Q64" s="23">
        <f t="shared" si="14"/>
        <v>0.61198445000851753</v>
      </c>
    </row>
    <row r="65" spans="1:20" ht="15.75" x14ac:dyDescent="0.25">
      <c r="A65" s="72"/>
      <c r="B65" s="72"/>
      <c r="C65" s="62" t="s">
        <v>85</v>
      </c>
      <c r="D65" s="4" t="s">
        <v>86</v>
      </c>
      <c r="E65" s="33">
        <v>1118.29</v>
      </c>
      <c r="F65" s="33">
        <v>0</v>
      </c>
      <c r="G65" s="33">
        <v>0</v>
      </c>
      <c r="H65" s="33">
        <v>0</v>
      </c>
      <c r="I65" s="33">
        <v>-5033.5999999999985</v>
      </c>
      <c r="J65" s="33">
        <v>1003.9499999999998</v>
      </c>
      <c r="K65" s="33">
        <f t="shared" si="20"/>
        <v>-6151.8899999999985</v>
      </c>
      <c r="L65" s="33">
        <f t="shared" si="5"/>
        <v>-5033.5999999999985</v>
      </c>
      <c r="M65" s="33">
        <f t="shared" si="6"/>
        <v>-5033.5999999999985</v>
      </c>
      <c r="N65" s="33">
        <f t="shared" si="7"/>
        <v>1003.9499999999998</v>
      </c>
      <c r="O65" s="23">
        <f t="shared" si="12"/>
        <v>-4.5011580180454072</v>
      </c>
      <c r="P65" s="23" t="str">
        <f t="shared" si="13"/>
        <v/>
      </c>
      <c r="Q65" s="23" t="str">
        <f t="shared" si="14"/>
        <v/>
      </c>
    </row>
    <row r="66" spans="1:20" ht="21" x14ac:dyDescent="0.25">
      <c r="A66" s="72"/>
      <c r="B66" s="72"/>
      <c r="C66" s="62" t="s">
        <v>160</v>
      </c>
      <c r="D66" s="4" t="s">
        <v>60</v>
      </c>
      <c r="E66" s="33">
        <v>10692.81</v>
      </c>
      <c r="F66" s="33">
        <v>16333.3</v>
      </c>
      <c r="G66" s="33">
        <v>3950.1</v>
      </c>
      <c r="H66" s="33">
        <v>1050</v>
      </c>
      <c r="I66" s="33">
        <v>39131.160000000003</v>
      </c>
      <c r="J66" s="33">
        <v>24549.34</v>
      </c>
      <c r="K66" s="33">
        <f t="shared" si="20"/>
        <v>28438.350000000006</v>
      </c>
      <c r="L66" s="33">
        <f t="shared" ref="L66:L78" si="21">I66-G66</f>
        <v>35181.060000000005</v>
      </c>
      <c r="M66" s="33">
        <f t="shared" ref="M66:M78" si="22">I66-F66</f>
        <v>22797.860000000004</v>
      </c>
      <c r="N66" s="33">
        <f t="shared" ref="N66:N78" si="23">J66-H66</f>
        <v>23499.34</v>
      </c>
      <c r="O66" s="23">
        <f t="shared" si="12"/>
        <v>3.659576855849866</v>
      </c>
      <c r="P66" s="23">
        <f t="shared" si="13"/>
        <v>9.9063719905825174</v>
      </c>
      <c r="Q66" s="23">
        <f t="shared" si="14"/>
        <v>2.395790195490195</v>
      </c>
    </row>
    <row r="67" spans="1:20" ht="15.75" x14ac:dyDescent="0.25">
      <c r="A67" s="72"/>
      <c r="B67" s="72"/>
      <c r="C67" s="62" t="s">
        <v>147</v>
      </c>
      <c r="D67" s="4" t="s">
        <v>146</v>
      </c>
      <c r="E67" s="33">
        <v>2146.9299999999998</v>
      </c>
      <c r="F67" s="33">
        <v>0</v>
      </c>
      <c r="G67" s="33">
        <f>H67</f>
        <v>0</v>
      </c>
      <c r="H67" s="33">
        <v>0</v>
      </c>
      <c r="I67" s="33">
        <v>795.93</v>
      </c>
      <c r="J67" s="33">
        <v>0</v>
      </c>
      <c r="K67" s="33">
        <f t="shared" si="20"/>
        <v>-1351</v>
      </c>
      <c r="L67" s="33">
        <f t="shared" si="21"/>
        <v>795.93</v>
      </c>
      <c r="M67" s="33">
        <f t="shared" si="22"/>
        <v>795.93</v>
      </c>
      <c r="N67" s="33">
        <f t="shared" si="23"/>
        <v>0</v>
      </c>
      <c r="O67" s="23">
        <f t="shared" si="12"/>
        <v>0.37072936704969423</v>
      </c>
      <c r="P67" s="23" t="str">
        <f t="shared" si="13"/>
        <v/>
      </c>
      <c r="Q67" s="23" t="str">
        <f t="shared" si="14"/>
        <v/>
      </c>
    </row>
    <row r="68" spans="1:20" ht="15.75" x14ac:dyDescent="0.25">
      <c r="A68" s="72"/>
      <c r="B68" s="72"/>
      <c r="C68" s="69"/>
      <c r="D68" s="52" t="s">
        <v>87</v>
      </c>
      <c r="E68" s="38">
        <f t="shared" ref="E68:K68" si="24">SUM(E60:E67)</f>
        <v>84016.64999999998</v>
      </c>
      <c r="F68" s="38">
        <f t="shared" si="24"/>
        <v>106084.5</v>
      </c>
      <c r="G68" s="38">
        <f t="shared" si="24"/>
        <v>48934.200000000004</v>
      </c>
      <c r="H68" s="38">
        <f t="shared" si="24"/>
        <v>8404.5</v>
      </c>
      <c r="I68" s="38">
        <f t="shared" si="24"/>
        <v>125304.87999999998</v>
      </c>
      <c r="J68" s="38">
        <f t="shared" si="24"/>
        <v>42799.51999999999</v>
      </c>
      <c r="K68" s="38">
        <f t="shared" si="24"/>
        <v>41288.230000000003</v>
      </c>
      <c r="L68" s="53">
        <f t="shared" si="21"/>
        <v>76370.679999999964</v>
      </c>
      <c r="M68" s="53">
        <f t="shared" si="22"/>
        <v>19220.379999999976</v>
      </c>
      <c r="N68" s="53">
        <f t="shared" si="23"/>
        <v>34395.01999999999</v>
      </c>
      <c r="O68" s="51">
        <f t="shared" si="12"/>
        <v>1.4914291393432135</v>
      </c>
      <c r="P68" s="51">
        <f t="shared" si="13"/>
        <v>2.5606810778555684</v>
      </c>
      <c r="Q68" s="51">
        <f t="shared" si="14"/>
        <v>1.1811799084691919</v>
      </c>
    </row>
    <row r="69" spans="1:20" s="42" customFormat="1" ht="25.5" customHeight="1" x14ac:dyDescent="0.2">
      <c r="A69" s="99" t="s">
        <v>88</v>
      </c>
      <c r="B69" s="99"/>
      <c r="C69" s="100"/>
      <c r="D69" s="99"/>
      <c r="E69" s="39">
        <f t="shared" ref="E69:K69" si="25">E5+E22</f>
        <v>9792324.3699999992</v>
      </c>
      <c r="F69" s="39">
        <f t="shared" si="25"/>
        <v>26570797.930000003</v>
      </c>
      <c r="G69" s="39">
        <f t="shared" si="25"/>
        <v>10880642.610000001</v>
      </c>
      <c r="H69" s="39">
        <f t="shared" si="25"/>
        <v>1787952.2000000002</v>
      </c>
      <c r="I69" s="39">
        <f>I5+I22</f>
        <v>10716843.800000001</v>
      </c>
      <c r="J69" s="39">
        <f>J5+J22</f>
        <v>1956596.6500000004</v>
      </c>
      <c r="K69" s="39">
        <f t="shared" si="25"/>
        <v>902159.92000000016</v>
      </c>
      <c r="L69" s="40">
        <f t="shared" si="21"/>
        <v>-163798.81000000052</v>
      </c>
      <c r="M69" s="40">
        <f t="shared" si="22"/>
        <v>-15853954.130000003</v>
      </c>
      <c r="N69" s="40">
        <f t="shared" si="23"/>
        <v>168644.45000000019</v>
      </c>
      <c r="O69" s="41">
        <f t="shared" ref="O69:O79" si="26">IFERROR(I69/E69,"")</f>
        <v>1.094412663946507</v>
      </c>
      <c r="P69" s="41">
        <f t="shared" ref="P69:P79" si="27">IFERROR(I69/G69,"")</f>
        <v>0.98494585146566072</v>
      </c>
      <c r="Q69" s="41">
        <f t="shared" ref="Q69:Q79" si="28">IFERROR(I69/F69,"")</f>
        <v>0.40333165109430341</v>
      </c>
      <c r="S69" s="27"/>
      <c r="T69" s="43"/>
    </row>
    <row r="70" spans="1:20" ht="33" customHeight="1" x14ac:dyDescent="0.2">
      <c r="A70" s="101"/>
      <c r="B70" s="76"/>
      <c r="C70" s="62"/>
      <c r="D70" s="50" t="s">
        <v>89</v>
      </c>
      <c r="E70" s="39">
        <f t="shared" ref="E70:K70" si="29">SUM(E71:E78)</f>
        <v>9705479.2799999975</v>
      </c>
      <c r="F70" s="39">
        <f t="shared" si="29"/>
        <v>28028970.460000001</v>
      </c>
      <c r="G70" s="39">
        <f t="shared" si="29"/>
        <v>11137761.09</v>
      </c>
      <c r="H70" s="39">
        <f t="shared" si="29"/>
        <v>2604708.98</v>
      </c>
      <c r="I70" s="39">
        <f t="shared" si="29"/>
        <v>11504154.380000001</v>
      </c>
      <c r="J70" s="39">
        <f t="shared" si="29"/>
        <v>2926946.5799999996</v>
      </c>
      <c r="K70" s="39">
        <f t="shared" si="29"/>
        <v>1798675.100000001</v>
      </c>
      <c r="L70" s="40">
        <f t="shared" si="21"/>
        <v>366393.29000000097</v>
      </c>
      <c r="M70" s="40">
        <f t="shared" si="22"/>
        <v>-16524816.08</v>
      </c>
      <c r="N70" s="40">
        <f t="shared" si="23"/>
        <v>322237.59999999963</v>
      </c>
      <c r="O70" s="41">
        <f t="shared" si="26"/>
        <v>1.1853257369480474</v>
      </c>
      <c r="P70" s="41">
        <f t="shared" si="27"/>
        <v>1.0328964939218319</v>
      </c>
      <c r="Q70" s="41">
        <f t="shared" si="28"/>
        <v>0.41043799294795791</v>
      </c>
    </row>
    <row r="71" spans="1:20" ht="31.5" x14ac:dyDescent="0.25">
      <c r="A71" s="101"/>
      <c r="B71" s="76"/>
      <c r="C71" s="62" t="s">
        <v>124</v>
      </c>
      <c r="D71" s="10" t="s">
        <v>90</v>
      </c>
      <c r="E71" s="33">
        <v>539943.4</v>
      </c>
      <c r="F71" s="33">
        <v>384548</v>
      </c>
      <c r="G71" s="33">
        <v>320133.90000000002</v>
      </c>
      <c r="H71" s="33">
        <v>0</v>
      </c>
      <c r="I71" s="33">
        <v>326643.7</v>
      </c>
      <c r="J71" s="33">
        <v>0</v>
      </c>
      <c r="K71" s="33">
        <f t="shared" ref="K71:K76" si="30">I71-E71</f>
        <v>-213299.7</v>
      </c>
      <c r="L71" s="33">
        <f t="shared" ref="L71:L76" si="31">I71-G71</f>
        <v>6509.7999999999884</v>
      </c>
      <c r="M71" s="33">
        <f>I71-F71</f>
        <v>-57904.299999999988</v>
      </c>
      <c r="N71" s="33">
        <f>J71-H71</f>
        <v>0</v>
      </c>
      <c r="O71" s="24">
        <f t="shared" si="26"/>
        <v>0.60495914942195794</v>
      </c>
      <c r="P71" s="24">
        <f t="shared" si="27"/>
        <v>1.0203346162340194</v>
      </c>
      <c r="Q71" s="24">
        <f t="shared" si="28"/>
        <v>0.84942243881127977</v>
      </c>
    </row>
    <row r="72" spans="1:20" ht="15.75" x14ac:dyDescent="0.25">
      <c r="A72" s="101"/>
      <c r="B72" s="76"/>
      <c r="C72" s="62" t="s">
        <v>125</v>
      </c>
      <c r="D72" s="11" t="s">
        <v>91</v>
      </c>
      <c r="E72" s="33">
        <v>1570814.27</v>
      </c>
      <c r="F72" s="33">
        <v>9844322.0999999996</v>
      </c>
      <c r="G72" s="33">
        <v>1984569.28</v>
      </c>
      <c r="H72" s="33">
        <v>513731.3</v>
      </c>
      <c r="I72" s="33">
        <v>1984569.28</v>
      </c>
      <c r="J72" s="33">
        <v>513731.26999999996</v>
      </c>
      <c r="K72" s="33">
        <f t="shared" si="30"/>
        <v>413755.01</v>
      </c>
      <c r="L72" s="33">
        <f t="shared" si="31"/>
        <v>0</v>
      </c>
      <c r="M72" s="33">
        <f>I72-F72</f>
        <v>-7859752.8199999994</v>
      </c>
      <c r="N72" s="33">
        <f>J72-H72</f>
        <v>-3.0000000027939677E-2</v>
      </c>
      <c r="O72" s="24">
        <f t="shared" si="26"/>
        <v>1.2634016114457631</v>
      </c>
      <c r="P72" s="24">
        <f t="shared" si="27"/>
        <v>1</v>
      </c>
      <c r="Q72" s="24">
        <f t="shared" si="28"/>
        <v>0.2015953216321518</v>
      </c>
    </row>
    <row r="73" spans="1:20" ht="15.75" x14ac:dyDescent="0.25">
      <c r="A73" s="101"/>
      <c r="B73" s="76"/>
      <c r="C73" s="62" t="s">
        <v>126</v>
      </c>
      <c r="D73" s="11" t="s">
        <v>92</v>
      </c>
      <c r="E73" s="33">
        <v>5852987.29</v>
      </c>
      <c r="F73" s="33">
        <v>12307705.300000001</v>
      </c>
      <c r="G73" s="33">
        <v>6205922.7000000002</v>
      </c>
      <c r="H73" s="33">
        <v>1648559.14</v>
      </c>
      <c r="I73" s="33">
        <v>6205922.6900000004</v>
      </c>
      <c r="J73" s="33">
        <v>1648559.14</v>
      </c>
      <c r="K73" s="33">
        <f t="shared" si="30"/>
        <v>352935.40000000037</v>
      </c>
      <c r="L73" s="33">
        <f t="shared" si="31"/>
        <v>-9.9999997764825821E-3</v>
      </c>
      <c r="M73" s="33">
        <f t="shared" si="22"/>
        <v>-6101782.6100000003</v>
      </c>
      <c r="N73" s="33">
        <f>J73-H73</f>
        <v>0</v>
      </c>
      <c r="O73" s="24">
        <f t="shared" si="26"/>
        <v>1.0603000455174405</v>
      </c>
      <c r="P73" s="24">
        <f t="shared" si="27"/>
        <v>0.99999999838863607</v>
      </c>
      <c r="Q73" s="24">
        <f t="shared" si="28"/>
        <v>0.50423068628398182</v>
      </c>
    </row>
    <row r="74" spans="1:20" ht="15.75" x14ac:dyDescent="0.25">
      <c r="A74" s="101"/>
      <c r="B74" s="76"/>
      <c r="C74" s="62" t="s">
        <v>127</v>
      </c>
      <c r="D74" s="5" t="s">
        <v>93</v>
      </c>
      <c r="E74" s="33">
        <v>1707584.17</v>
      </c>
      <c r="F74" s="33">
        <v>5484388.1900000004</v>
      </c>
      <c r="G74" s="33">
        <v>2619128.3400000003</v>
      </c>
      <c r="H74" s="33">
        <v>442418.54</v>
      </c>
      <c r="I74" s="33">
        <v>2619128.3400000003</v>
      </c>
      <c r="J74" s="33">
        <v>442418.54</v>
      </c>
      <c r="K74" s="33">
        <f t="shared" si="30"/>
        <v>911544.17000000039</v>
      </c>
      <c r="L74" s="33">
        <f t="shared" si="31"/>
        <v>0</v>
      </c>
      <c r="M74" s="33">
        <f t="shared" si="22"/>
        <v>-2865259.85</v>
      </c>
      <c r="N74" s="33">
        <f t="shared" si="23"/>
        <v>0</v>
      </c>
      <c r="O74" s="24">
        <f t="shared" si="26"/>
        <v>1.5338209301858312</v>
      </c>
      <c r="P74" s="24">
        <f t="shared" si="27"/>
        <v>1</v>
      </c>
      <c r="Q74" s="24">
        <f t="shared" si="28"/>
        <v>0.47756071402378247</v>
      </c>
    </row>
    <row r="75" spans="1:20" ht="31.5" x14ac:dyDescent="0.25">
      <c r="A75" s="101"/>
      <c r="B75" s="76"/>
      <c r="C75" s="62" t="s">
        <v>123</v>
      </c>
      <c r="D75" s="5" t="s">
        <v>122</v>
      </c>
      <c r="E75" s="33">
        <v>4.0599999999999996</v>
      </c>
      <c r="F75" s="33">
        <v>0</v>
      </c>
      <c r="G75" s="33">
        <v>0</v>
      </c>
      <c r="H75" s="33">
        <v>0</v>
      </c>
      <c r="I75" s="33">
        <v>787.89</v>
      </c>
      <c r="J75" s="33">
        <v>400</v>
      </c>
      <c r="K75" s="33">
        <f t="shared" si="30"/>
        <v>783.83</v>
      </c>
      <c r="L75" s="33">
        <f t="shared" si="31"/>
        <v>787.89</v>
      </c>
      <c r="M75" s="33">
        <f t="shared" si="22"/>
        <v>787.89</v>
      </c>
      <c r="N75" s="33">
        <f t="shared" si="23"/>
        <v>400</v>
      </c>
      <c r="O75" s="24">
        <f t="shared" si="26"/>
        <v>194.06157635467983</v>
      </c>
      <c r="P75" s="24" t="str">
        <f t="shared" si="27"/>
        <v/>
      </c>
      <c r="Q75" s="24" t="str">
        <f t="shared" si="28"/>
        <v/>
      </c>
    </row>
    <row r="76" spans="1:20" ht="15.75" customHeight="1" x14ac:dyDescent="0.25">
      <c r="A76" s="101"/>
      <c r="B76" s="76"/>
      <c r="C76" s="62" t="s">
        <v>94</v>
      </c>
      <c r="D76" s="21" t="s">
        <v>95</v>
      </c>
      <c r="E76" s="33">
        <v>49651.11</v>
      </c>
      <c r="F76" s="33">
        <v>0</v>
      </c>
      <c r="G76" s="33">
        <v>0</v>
      </c>
      <c r="H76" s="33">
        <v>0</v>
      </c>
      <c r="I76" s="33">
        <v>450392.64</v>
      </c>
      <c r="J76" s="33">
        <v>291472.55</v>
      </c>
      <c r="K76" s="33">
        <f t="shared" si="30"/>
        <v>400741.53</v>
      </c>
      <c r="L76" s="33">
        <f t="shared" si="31"/>
        <v>450392.64</v>
      </c>
      <c r="M76" s="33">
        <f>I76-F76</f>
        <v>450392.64</v>
      </c>
      <c r="N76" s="33">
        <f t="shared" si="23"/>
        <v>291472.55</v>
      </c>
      <c r="O76" s="24">
        <f t="shared" si="26"/>
        <v>9.0711494667490822</v>
      </c>
      <c r="P76" s="24" t="str">
        <f t="shared" si="27"/>
        <v/>
      </c>
      <c r="Q76" s="24" t="str">
        <f t="shared" si="28"/>
        <v/>
      </c>
    </row>
    <row r="77" spans="1:20" ht="31.5" x14ac:dyDescent="0.25">
      <c r="A77" s="101"/>
      <c r="B77" s="76"/>
      <c r="C77" s="62" t="s">
        <v>96</v>
      </c>
      <c r="D77" s="4" t="s">
        <v>97</v>
      </c>
      <c r="E77" s="33">
        <v>322697.95</v>
      </c>
      <c r="F77" s="32">
        <v>8006.87</v>
      </c>
      <c r="G77" s="32">
        <v>8006.87</v>
      </c>
      <c r="H77" s="32">
        <v>0</v>
      </c>
      <c r="I77" s="32">
        <v>194395.78</v>
      </c>
      <c r="J77" s="32">
        <v>34588.35</v>
      </c>
      <c r="K77" s="33">
        <f t="shared" si="20"/>
        <v>-128302.17000000001</v>
      </c>
      <c r="L77" s="33">
        <f t="shared" si="21"/>
        <v>186388.91</v>
      </c>
      <c r="M77" s="33">
        <f t="shared" si="22"/>
        <v>186388.91</v>
      </c>
      <c r="N77" s="33">
        <f t="shared" si="23"/>
        <v>34588.35</v>
      </c>
      <c r="O77" s="24">
        <f t="shared" si="26"/>
        <v>0.60240785539542474</v>
      </c>
      <c r="P77" s="24">
        <f t="shared" si="27"/>
        <v>24.278623232299264</v>
      </c>
      <c r="Q77" s="24">
        <f t="shared" si="28"/>
        <v>24.278623232299264</v>
      </c>
    </row>
    <row r="78" spans="1:20" ht="15.75" x14ac:dyDescent="0.25">
      <c r="A78" s="101"/>
      <c r="B78" s="76"/>
      <c r="C78" s="62" t="s">
        <v>98</v>
      </c>
      <c r="D78" s="4" t="s">
        <v>99</v>
      </c>
      <c r="E78" s="33">
        <v>-338202.97</v>
      </c>
      <c r="F78" s="33">
        <v>0</v>
      </c>
      <c r="G78" s="33">
        <v>0</v>
      </c>
      <c r="H78" s="33">
        <v>0</v>
      </c>
      <c r="I78" s="33">
        <v>-277685.94</v>
      </c>
      <c r="J78" s="33">
        <v>-4223.2700000000004</v>
      </c>
      <c r="K78" s="33">
        <f t="shared" si="20"/>
        <v>60517.02999999997</v>
      </c>
      <c r="L78" s="33">
        <f t="shared" si="21"/>
        <v>-277685.94</v>
      </c>
      <c r="M78" s="33">
        <f t="shared" si="22"/>
        <v>-277685.94</v>
      </c>
      <c r="N78" s="33">
        <f t="shared" si="23"/>
        <v>-4223.2700000000004</v>
      </c>
      <c r="O78" s="24">
        <f t="shared" si="26"/>
        <v>0.82106298475143502</v>
      </c>
      <c r="P78" s="24" t="str">
        <f t="shared" si="27"/>
        <v/>
      </c>
      <c r="Q78" s="24" t="str">
        <f t="shared" si="28"/>
        <v/>
      </c>
    </row>
    <row r="79" spans="1:20" ht="29.25" customHeight="1" x14ac:dyDescent="0.25">
      <c r="A79" s="97" t="s">
        <v>100</v>
      </c>
      <c r="B79" s="97"/>
      <c r="C79" s="98"/>
      <c r="D79" s="97"/>
      <c r="E79" s="55">
        <f t="shared" ref="E79:N79" si="32">E69+E70</f>
        <v>19497803.649999999</v>
      </c>
      <c r="F79" s="55">
        <f t="shared" si="32"/>
        <v>54599768.390000001</v>
      </c>
      <c r="G79" s="55">
        <f t="shared" si="32"/>
        <v>22018403.700000003</v>
      </c>
      <c r="H79" s="55">
        <f t="shared" si="32"/>
        <v>4392661.18</v>
      </c>
      <c r="I79" s="55">
        <f t="shared" si="32"/>
        <v>22220998.18</v>
      </c>
      <c r="J79" s="55">
        <f t="shared" si="32"/>
        <v>4883543.2300000004</v>
      </c>
      <c r="K79" s="55">
        <f t="shared" si="32"/>
        <v>2700835.0200000014</v>
      </c>
      <c r="L79" s="55">
        <f t="shared" si="32"/>
        <v>202594.48000000045</v>
      </c>
      <c r="M79" s="55">
        <f t="shared" si="32"/>
        <v>-32378770.210000001</v>
      </c>
      <c r="N79" s="55">
        <f t="shared" si="32"/>
        <v>490882.04999999981</v>
      </c>
      <c r="O79" s="56">
        <f t="shared" si="26"/>
        <v>1.1396667326681178</v>
      </c>
      <c r="P79" s="56">
        <f t="shared" si="27"/>
        <v>1.0092011429511576</v>
      </c>
      <c r="Q79" s="56">
        <f t="shared" si="28"/>
        <v>0.40697971502878749</v>
      </c>
    </row>
    <row r="80" spans="1:20" ht="15.75" x14ac:dyDescent="0.2">
      <c r="A80" s="12" t="s">
        <v>101</v>
      </c>
      <c r="B80" s="13"/>
      <c r="C80" s="67"/>
      <c r="D80" s="1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15"/>
      <c r="P80" s="16"/>
      <c r="Q80" s="15"/>
    </row>
  </sheetData>
  <autoFilter ref="A4:Q81"/>
  <mergeCells count="36">
    <mergeCell ref="Q3:Q4"/>
    <mergeCell ref="A79:D79"/>
    <mergeCell ref="A60:A68"/>
    <mergeCell ref="B60:B68"/>
    <mergeCell ref="A69:D69"/>
    <mergeCell ref="A70:A78"/>
    <mergeCell ref="B70:B78"/>
    <mergeCell ref="B50:B54"/>
    <mergeCell ref="A50:A54"/>
    <mergeCell ref="A1:Q1"/>
    <mergeCell ref="A3:A4"/>
    <mergeCell ref="B3:B4"/>
    <mergeCell ref="C3:C4"/>
    <mergeCell ref="D3:D4"/>
    <mergeCell ref="E3:E4"/>
    <mergeCell ref="F3:H3"/>
    <mergeCell ref="P3:P4"/>
    <mergeCell ref="A58:A59"/>
    <mergeCell ref="B58:B59"/>
    <mergeCell ref="A30:A37"/>
    <mergeCell ref="B30:B37"/>
    <mergeCell ref="A38:A47"/>
    <mergeCell ref="B38:B47"/>
    <mergeCell ref="A48:A49"/>
    <mergeCell ref="B48:B49"/>
    <mergeCell ref="A55:A57"/>
    <mergeCell ref="B55:B57"/>
    <mergeCell ref="A27:A29"/>
    <mergeCell ref="B27:B29"/>
    <mergeCell ref="I3:J3"/>
    <mergeCell ref="K3:N3"/>
    <mergeCell ref="O3:O4"/>
    <mergeCell ref="A23:A26"/>
    <mergeCell ref="B23:B26"/>
    <mergeCell ref="A6:A17"/>
    <mergeCell ref="A22:C22"/>
  </mergeCells>
  <pageMargins left="0" right="0" top="0.87" bottom="0.43" header="0.19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01.07.2023</vt:lpstr>
      <vt:lpstr>'на 01.07.2023'!Заголовки_для_печати</vt:lpstr>
      <vt:lpstr>'на 01.07.2023'!Область_печати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Юрьева Ольга Ивановна</dc:creator>
  <cp:lastModifiedBy>Кононов Иван Анатольевич</cp:lastModifiedBy>
  <cp:revision>39</cp:revision>
  <cp:lastPrinted>2023-07-14T05:22:51Z</cp:lastPrinted>
  <dcterms:created xsi:type="dcterms:W3CDTF">2015-02-26T11:08:47Z</dcterms:created>
  <dcterms:modified xsi:type="dcterms:W3CDTF">2023-07-14T09:26:41Z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