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activeTab="0"/>
  </bookViews>
  <sheets>
    <sheet name="10.07.2023" sheetId="1" r:id="rId1"/>
  </sheets>
  <definedNames>
    <definedName name="_xlfn.IFERROR" hidden="1">#NAME?</definedName>
    <definedName name="_xlnm._FilterDatabase" localSheetId="0" hidden="1">'10.07.2023'!$A$4:$X$89</definedName>
    <definedName name="XDO_?AMOUNT?">#REF!</definedName>
    <definedName name="XDO_?BANK_ACC_NUM?">#REF!</definedName>
    <definedName name="XDO_?BANK_ACCOUNT_NUM_OPO?">#REF!</definedName>
    <definedName name="XDO_?BCC_CODE?">#REF!</definedName>
    <definedName name="XDO_?BUDGET_NAME?">#REF!</definedName>
    <definedName name="XDO_?CHIEF_DEP_NAME?">#REF!</definedName>
    <definedName name="XDO_?CHIEF_DEP_POST?">#REF!</definedName>
    <definedName name="XDO_?CHIEF_NAME?">#REF!</definedName>
    <definedName name="XDO_?CHIEF_POST?">#REF!</definedName>
    <definedName name="XDO_?CLERK_NAME?">#REF!</definedName>
    <definedName name="XDO_?CLERK_PHONE?">#REF!</definedName>
    <definedName name="XDO_?CLERK_POST?">#REF!</definedName>
    <definedName name="XDO_?DOC_REG_NUMBER?">#REF!</definedName>
    <definedName name="XDO_?OKATO?">#REF!</definedName>
    <definedName name="XDO_?OKPO?">#REF!</definedName>
    <definedName name="XDO_?PP_DATE?">#REF!</definedName>
    <definedName name="XDO_?PP_NUM?">#REF!</definedName>
    <definedName name="XDO_?RECEIVER_INN?">#REF!</definedName>
    <definedName name="XDO_?RECEIVER_KPP?">#REF!</definedName>
    <definedName name="XDO_?RECEIVER_TOFK_NAME?">#REF!</definedName>
    <definedName name="XDO_?REPORT_DATE?">#REF!</definedName>
    <definedName name="XDO_?REPORT_DATE_1?">#REF!</definedName>
    <definedName name="XDO_?REPORT_DATE_2?">#REF!</definedName>
    <definedName name="XDO_?SUBS_CODE?">#REF!</definedName>
    <definedName name="XDO_?TOFK_CODE?">#REF!</definedName>
    <definedName name="XDO_?TOFK_CODE_OP?">#REF!</definedName>
    <definedName name="XDO_?TOFK_NAME?">#REF!</definedName>
    <definedName name="XDO_?TOFK_NAME_OP?">#REF!</definedName>
    <definedName name="XDO_?TOFK_NAME2?">#REF!</definedName>
    <definedName name="XDO_?TOT_AMOUNT?">#REF!</definedName>
    <definedName name="XDO_?USER_DEPARTMENT?">#REF!</definedName>
    <definedName name="XDO_?USER_DEPARTMENT2?">#REF!</definedName>
    <definedName name="XDO_GROUP_?LINE?">#REF!</definedName>
    <definedName name="_xlnm.Print_Titles" localSheetId="0">'10.07.2023'!$3:$4</definedName>
    <definedName name="о">#REF!</definedName>
    <definedName name="_xlnm.Print_Area" localSheetId="0">'10.07.2023'!$A$1:$P$88</definedName>
    <definedName name="оля">#REF!</definedName>
  </definedNames>
  <calcPr fullCalcOnLoad="1"/>
</workbook>
</file>

<file path=xl/sharedStrings.xml><?xml version="1.0" encoding="utf-8"?>
<sst xmlns="http://schemas.openxmlformats.org/spreadsheetml/2006/main" count="153" uniqueCount="122">
  <si>
    <t>тыс. руб.</t>
  </si>
  <si>
    <t>Код адм.</t>
  </si>
  <si>
    <t xml:space="preserve">Администраторы, кураторы доходов    </t>
  </si>
  <si>
    <t>Вид дохода</t>
  </si>
  <si>
    <t xml:space="preserve">ОТКЛОНЕНИЕ </t>
  </si>
  <si>
    <t>АЦК</t>
  </si>
  <si>
    <t>факта отч.пер. от плана отч.пер.</t>
  </si>
  <si>
    <t>НАЛОГОВЫЕ ДОХОДЫ</t>
  </si>
  <si>
    <t>УВБ</t>
  </si>
  <si>
    <t>Акцизы по подакцизным товарам</t>
  </si>
  <si>
    <t>ИТОГО ПО АДМИНИСТРАТОРУ</t>
  </si>
  <si>
    <t>182</t>
  </si>
  <si>
    <t>ДЭиП</t>
  </si>
  <si>
    <t>НДФЛ</t>
  </si>
  <si>
    <t>ЕНВД</t>
  </si>
  <si>
    <t>Единый сельскохозяйственный налог</t>
  </si>
  <si>
    <t>ДЗО</t>
  </si>
  <si>
    <t>Налог на имущество физических лиц</t>
  </si>
  <si>
    <t xml:space="preserve">Земельный налог </t>
  </si>
  <si>
    <t>ДОБ</t>
  </si>
  <si>
    <t>Государственная пошлина (мировые судьи)</t>
  </si>
  <si>
    <t>Задолженность по отмененным налогам</t>
  </si>
  <si>
    <t>318</t>
  </si>
  <si>
    <t>ДФ</t>
  </si>
  <si>
    <t>Госпошлина за регистрацию СМИ</t>
  </si>
  <si>
    <t>951</t>
  </si>
  <si>
    <t>944</t>
  </si>
  <si>
    <t>Госпошлина за выдачу спец. разрешения (опасн., тяжеловесн., крупногабар. груз)</t>
  </si>
  <si>
    <t>НЕНАЛОГОВЫЕ ДОХОДЫ</t>
  </si>
  <si>
    <t>Доходы от перечисления части прибыли МУП</t>
  </si>
  <si>
    <t>Плата по договорам на размещение рекламных конструкций</t>
  </si>
  <si>
    <t>Плата за размещение НТО</t>
  </si>
  <si>
    <t>163</t>
  </si>
  <si>
    <t>ДИО</t>
  </si>
  <si>
    <t>Дивиденды по акциям</t>
  </si>
  <si>
    <t>Доходы от сдачи в аренду имущества казны</t>
  </si>
  <si>
    <t>Прочие поступления от использования имущества</t>
  </si>
  <si>
    <t xml:space="preserve">Доходы  от реализации мун. имущества, в т.ч.: </t>
  </si>
  <si>
    <t xml:space="preserve">178-ФЗ </t>
  </si>
  <si>
    <t>НДС по 178-ФЗ</t>
  </si>
  <si>
    <t>159-ФЗ</t>
  </si>
  <si>
    <t>Прочие неналоговые поступления</t>
  </si>
  <si>
    <t>Арендная плата за земельные участки, гос. собственность на которые не разграничена</t>
  </si>
  <si>
    <t xml:space="preserve">Средства от продажи права на заключение договоров аренды </t>
  </si>
  <si>
    <t xml:space="preserve">Арендная плата за земельные участки, находящиеся в собственности городских округов </t>
  </si>
  <si>
    <t xml:space="preserve">Доходы от продажи земельных участков, государственная собственность на которые не разграничена </t>
  </si>
  <si>
    <t>Доходы от продажи земельных участков, находящихся в собственности городских округов</t>
  </si>
  <si>
    <t xml:space="preserve">Плата за увеличение площади земельных участков в результате перераспределения </t>
  </si>
  <si>
    <t>940</t>
  </si>
  <si>
    <t>МУ ДЖКХ</t>
  </si>
  <si>
    <t>Доходы от оказания платных услуг и компенсации затрат государства</t>
  </si>
  <si>
    <t>945</t>
  </si>
  <si>
    <t>Штрафы, санкции, возмещение ущерба</t>
  </si>
  <si>
    <t>УЖО</t>
  </si>
  <si>
    <t>Плата за найм</t>
  </si>
  <si>
    <t>Доходы от продажи квартир</t>
  </si>
  <si>
    <t>Плата за право заключения договоров о РЗТ</t>
  </si>
  <si>
    <t>915, 048</t>
  </si>
  <si>
    <t>Уэкол.</t>
  </si>
  <si>
    <t>Платежи при пользовании природными ресурсами</t>
  </si>
  <si>
    <t>903</t>
  </si>
  <si>
    <t>ДГА</t>
  </si>
  <si>
    <t>Иные администр.</t>
  </si>
  <si>
    <t>Доходы от сдачи в аренду объектов нежилого фонда</t>
  </si>
  <si>
    <t>Невыясненные поступления</t>
  </si>
  <si>
    <t>ИТОГО ПО ИНЫМ АДМИНИСТРАТОРАМ</t>
  </si>
  <si>
    <t xml:space="preserve">ИТОГО НАЛОГОВЫХ И НЕНАЛОГОВЫХ ДОХОДОВ </t>
  </si>
  <si>
    <t>БЕЗВОЗМЕЗДНЫЕ ПОСТУПЛЕНИЯ</t>
  </si>
  <si>
    <t>Дотации бюджетам субъектов Российской Федерации и муниципальных образований</t>
  </si>
  <si>
    <t xml:space="preserve">Субсидии от других бюджетов бюджетной системы РФ   *)      </t>
  </si>
  <si>
    <t xml:space="preserve">Субвенции от других бюджетов бюджетной системы РФ *)    </t>
  </si>
  <si>
    <t>Иные межбюджетные трансферты  *)</t>
  </si>
  <si>
    <t>Прочие безвозмездные поступления в бюджеты городских округов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</si>
  <si>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</si>
  <si>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субсидий, субвенций прошлых лет</t>
  </si>
  <si>
    <t xml:space="preserve">ВСЕГО ДОХОДОВ </t>
  </si>
  <si>
    <t xml:space="preserve">*)   Примечание: уточненный план по субвенциям, субсидиям и иным межбюджетным трансфертам на текущую дату </t>
  </si>
  <si>
    <t>096</t>
  </si>
  <si>
    <t>992</t>
  </si>
  <si>
    <t>ДДиБ</t>
  </si>
  <si>
    <t>ДТ</t>
  </si>
  <si>
    <t>Госпошлина за выдачу разрешения на установку РК</t>
  </si>
  <si>
    <t>ИТОГО НАЛОГОВЫХ И НЕНАЛОГОВЫХ ДОХОДОВ (без учета доходов по транспорту)</t>
  </si>
  <si>
    <t>Плата по соглашениям об установлении сервитута в отношении земельных участков</t>
  </si>
  <si>
    <t>Доходы от компенсации затрат государства (епд)</t>
  </si>
  <si>
    <t>Доходы от компенсации затрат государства (плата за проезд)</t>
  </si>
  <si>
    <t>Доходы от компенсации затрат государства (транспортные карты)</t>
  </si>
  <si>
    <t xml:space="preserve"> </t>
  </si>
  <si>
    <t>Плата за публичный сервитут</t>
  </si>
  <si>
    <t>Прочие безвозмездные поступления от государственных (муниципальных) организаций в бюджеты городских округов</t>
  </si>
  <si>
    <t>реестр</t>
  </si>
  <si>
    <t xml:space="preserve">год </t>
  </si>
  <si>
    <t>Доходы от компенсации затрат государства (лпд )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</si>
  <si>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</si>
  <si>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ПЛАН на 2023 год </t>
  </si>
  <si>
    <r>
      <t>Оперативный анализ  поступления доходов бюджета города Перми в 2023 году</t>
    </r>
    <r>
      <rPr>
        <b/>
        <sz val="16"/>
        <rFont val="Times New Roman"/>
        <family val="1"/>
      </rPr>
      <t xml:space="preserve"> </t>
    </r>
  </si>
  <si>
    <t>ФАКТ 2023 года</t>
  </si>
  <si>
    <t>факта 2023 года от факта 2022 года</t>
  </si>
  <si>
    <t>факта 2023 года от плана 2023 года</t>
  </si>
  <si>
    <t>УСН</t>
  </si>
  <si>
    <t>Госпошлина за гос. регистрацию общ. объединений.</t>
  </si>
  <si>
    <t>Налог, взимаемый в связи с применением патентной системы н/о</t>
  </si>
  <si>
    <t>Доходы от предоставления на платной основе парковок</t>
  </si>
  <si>
    <t xml:space="preserve">Плата по соглашениям об установлении сервитута </t>
  </si>
  <si>
    <t xml:space="preserve">Транспортный налог </t>
  </si>
  <si>
    <t>скрыть</t>
  </si>
  <si>
    <t>Инициативные платежи</t>
  </si>
  <si>
    <t>Исполн. плана отч. периода</t>
  </si>
  <si>
    <t>Исполн. плана года</t>
  </si>
  <si>
    <t>Факт 2023г./ факт 2022г.</t>
  </si>
  <si>
    <t>АЦК +  Реестр</t>
  </si>
  <si>
    <t>ФАКТ 2023 года (ацк+реестр)</t>
  </si>
  <si>
    <t>Плата за фактическое пользование</t>
  </si>
  <si>
    <t>Факт с нач. 2022 года      (по 07.07.22 вкл.)</t>
  </si>
  <si>
    <t>январь-июль</t>
  </si>
  <si>
    <t>июль</t>
  </si>
  <si>
    <t>с нач. года на 10.07.2023 (по 07.07.2023 вкл.)</t>
  </si>
  <si>
    <t>с нач. года на 07.07.2023 (по 06.07.2023 вкл.)</t>
  </si>
  <si>
    <t>За 07.06.2023</t>
  </si>
  <si>
    <t>с нач. года на 10.07.2023 (по 07.06.2023 вкл.)</t>
  </si>
  <si>
    <t>факта за июля от плана июля</t>
  </si>
  <si>
    <t>июль (по 06.07 вкл.)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</si>
</sst>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%"/>
    <numFmt numFmtId="166" formatCode="#,##0.00_р_."/>
    <numFmt numFmtId="167" formatCode="#,##0.000"/>
    <numFmt numFmtId="168" formatCode="0.000"/>
    <numFmt numFmtId="169" formatCode="0.0"/>
  </numFmts>
  <fonts count="60">
    <font>
      <sz val="10"/>
      <name val="Arial Cyr"/>
      <family val="0"/>
    </font>
    <font>
      <sz val="11"/>
      <color indexed="55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6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9"/>
      <color indexed="45"/>
      <name val="Times New Roman"/>
      <family val="1"/>
    </font>
    <font>
      <i/>
      <sz val="9"/>
      <color indexed="45"/>
      <name val="Times New Roman"/>
      <family val="1"/>
    </font>
    <font>
      <sz val="9"/>
      <color indexed="45"/>
      <name val="Arial Cyr"/>
      <family val="0"/>
    </font>
    <font>
      <sz val="10"/>
      <color indexed="45"/>
      <name val="Arial Cyr"/>
      <family val="0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sz val="12"/>
      <color indexed="55"/>
      <name val="Times New Roman"/>
      <family val="1"/>
    </font>
    <font>
      <b/>
      <sz val="12"/>
      <color indexed="45"/>
      <name val="Times New Roman"/>
      <family val="1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i/>
      <sz val="9"/>
      <color rgb="FFFF0000"/>
      <name val="Times New Roman"/>
      <family val="1"/>
    </font>
    <font>
      <sz val="9"/>
      <color rgb="FFFF0000"/>
      <name val="Arial Cyr"/>
      <family val="0"/>
    </font>
    <font>
      <sz val="10"/>
      <color rgb="FFFF0000"/>
      <name val="Arial Cyr"/>
      <family val="0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4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top"/>
    </xf>
    <xf numFmtId="0" fontId="3" fillId="0" borderId="11" xfId="0" applyFont="1" applyFill="1" applyBorder="1" applyAlignment="1">
      <alignment wrapText="1"/>
    </xf>
    <xf numFmtId="164" fontId="3" fillId="0" borderId="11" xfId="0" applyNumberFormat="1" applyFont="1" applyFill="1" applyBorder="1" applyAlignment="1">
      <alignment horizontal="right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wrapText="1"/>
    </xf>
    <xf numFmtId="164" fontId="3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 vertical="top"/>
    </xf>
    <xf numFmtId="0" fontId="3" fillId="0" borderId="11" xfId="0" applyFont="1" applyFill="1" applyBorder="1" applyAlignment="1">
      <alignment horizontal="left" wrapText="1"/>
    </xf>
    <xf numFmtId="166" fontId="3" fillId="0" borderId="11" xfId="0" applyNumberFormat="1" applyFont="1" applyFill="1" applyBorder="1" applyAlignment="1">
      <alignment horizontal="left" wrapText="1"/>
    </xf>
    <xf numFmtId="164" fontId="3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left" wrapText="1"/>
    </xf>
    <xf numFmtId="164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vertical="top" wrapText="1"/>
    </xf>
    <xf numFmtId="166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wrapText="1"/>
    </xf>
    <xf numFmtId="4" fontId="3" fillId="0" borderId="11" xfId="0" applyNumberFormat="1" applyFont="1" applyFill="1" applyBorder="1" applyAlignment="1">
      <alignment vertical="top" wrapText="1"/>
    </xf>
    <xf numFmtId="166" fontId="3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9" fontId="0" fillId="0" borderId="0" xfId="144" applyFont="1" applyFill="1" applyBorder="1" applyAlignment="1" applyProtection="1">
      <alignment/>
      <protection/>
    </xf>
    <xf numFmtId="4" fontId="0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/>
    </xf>
    <xf numFmtId="0" fontId="6" fillId="0" borderId="12" xfId="0" applyFont="1" applyFill="1" applyBorder="1" applyAlignment="1">
      <alignment horizontal="center" wrapText="1"/>
    </xf>
    <xf numFmtId="164" fontId="8" fillId="0" borderId="11" xfId="0" applyNumberFormat="1" applyFont="1" applyFill="1" applyBorder="1" applyAlignment="1">
      <alignment wrapText="1"/>
    </xf>
    <xf numFmtId="49" fontId="3" fillId="0" borderId="0" xfId="0" applyNumberFormat="1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4" fontId="4" fillId="0" borderId="11" xfId="0" applyNumberFormat="1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 wrapText="1"/>
    </xf>
    <xf numFmtId="165" fontId="3" fillId="0" borderId="11" xfId="0" applyNumberFormat="1" applyFont="1" applyFill="1" applyBorder="1" applyAlignment="1">
      <alignment horizontal="right" wrapText="1"/>
    </xf>
    <xf numFmtId="165" fontId="3" fillId="0" borderId="11" xfId="0" applyNumberFormat="1" applyFont="1" applyFill="1" applyBorder="1" applyAlignment="1">
      <alignment wrapText="1"/>
    </xf>
    <xf numFmtId="165" fontId="3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166" fontId="4" fillId="0" borderId="11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165" fontId="4" fillId="0" borderId="11" xfId="0" applyNumberFormat="1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wrapText="1"/>
    </xf>
    <xf numFmtId="165" fontId="8" fillId="0" borderId="11" xfId="0" applyNumberFormat="1" applyFont="1" applyFill="1" applyBorder="1" applyAlignment="1">
      <alignment horizontal="right" wrapText="1"/>
    </xf>
    <xf numFmtId="4" fontId="8" fillId="0" borderId="11" xfId="0" applyNumberFormat="1" applyFont="1" applyFill="1" applyBorder="1" applyAlignment="1">
      <alignment wrapText="1"/>
    </xf>
    <xf numFmtId="165" fontId="8" fillId="0" borderId="11" xfId="0" applyNumberFormat="1" applyFont="1" applyFill="1" applyBorder="1" applyAlignment="1">
      <alignment wrapText="1"/>
    </xf>
    <xf numFmtId="166" fontId="8" fillId="0" borderId="11" xfId="0" applyNumberFormat="1" applyFont="1" applyFill="1" applyBorder="1" applyAlignment="1">
      <alignment wrapText="1"/>
    </xf>
    <xf numFmtId="164" fontId="8" fillId="0" borderId="11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 wrapText="1"/>
    </xf>
    <xf numFmtId="166" fontId="8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164" fontId="4" fillId="0" borderId="11" xfId="0" applyNumberFormat="1" applyFont="1" applyFill="1" applyBorder="1" applyAlignment="1">
      <alignment wrapText="1"/>
    </xf>
    <xf numFmtId="165" fontId="4" fillId="0" borderId="1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4" fontId="8" fillId="0" borderId="11" xfId="0" applyNumberFormat="1" applyFont="1" applyFill="1" applyBorder="1" applyAlignment="1">
      <alignment vertical="center" wrapText="1"/>
    </xf>
    <xf numFmtId="167" fontId="4" fillId="0" borderId="11" xfId="0" applyNumberFormat="1" applyFont="1" applyFill="1" applyBorder="1" applyAlignment="1">
      <alignment vertical="center" wrapText="1"/>
    </xf>
    <xf numFmtId="168" fontId="0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" fontId="0" fillId="0" borderId="0" xfId="0" applyNumberFormat="1" applyFont="1" applyFill="1" applyAlignment="1">
      <alignment/>
    </xf>
    <xf numFmtId="167" fontId="0" fillId="0" borderId="0" xfId="0" applyNumberFormat="1" applyFont="1" applyFill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right" vertical="center"/>
    </xf>
    <xf numFmtId="9" fontId="52" fillId="0" borderId="0" xfId="144" applyFont="1" applyFill="1" applyBorder="1" applyAlignment="1" applyProtection="1">
      <alignment horizontal="center" vertical="center" wrapText="1"/>
      <protection/>
    </xf>
    <xf numFmtId="4" fontId="52" fillId="0" borderId="0" xfId="144" applyNumberFormat="1" applyFont="1" applyFill="1" applyBorder="1" applyAlignment="1" applyProtection="1">
      <alignment vertical="center" wrapText="1"/>
      <protection/>
    </xf>
    <xf numFmtId="4" fontId="53" fillId="0" borderId="0" xfId="144" applyNumberFormat="1" applyFont="1" applyFill="1" applyBorder="1" applyAlignment="1" applyProtection="1">
      <alignment vertical="center" wrapText="1"/>
      <protection/>
    </xf>
    <xf numFmtId="4" fontId="52" fillId="0" borderId="0" xfId="144" applyNumberFormat="1" applyFont="1" applyFill="1" applyBorder="1" applyAlignment="1" applyProtection="1">
      <alignment wrapText="1"/>
      <protection/>
    </xf>
    <xf numFmtId="9" fontId="54" fillId="0" borderId="0" xfId="144" applyFont="1" applyFill="1" applyBorder="1" applyAlignment="1" applyProtection="1">
      <alignment vertical="center"/>
      <protection/>
    </xf>
    <xf numFmtId="0" fontId="55" fillId="0" borderId="0" xfId="0" applyFont="1" applyFill="1" applyAlignment="1">
      <alignment/>
    </xf>
    <xf numFmtId="0" fontId="55" fillId="0" borderId="0" xfId="0" applyFont="1" applyAlignment="1">
      <alignment/>
    </xf>
    <xf numFmtId="0" fontId="56" fillId="0" borderId="11" xfId="0" applyFont="1" applyFill="1" applyBorder="1" applyAlignment="1">
      <alignment horizontal="left" wrapText="1"/>
    </xf>
    <xf numFmtId="166" fontId="56" fillId="0" borderId="11" xfId="0" applyNumberFormat="1" applyFont="1" applyFill="1" applyBorder="1" applyAlignment="1">
      <alignment wrapText="1"/>
    </xf>
    <xf numFmtId="166" fontId="56" fillId="0" borderId="11" xfId="0" applyNumberFormat="1" applyFont="1" applyFill="1" applyBorder="1" applyAlignment="1">
      <alignment wrapText="1"/>
    </xf>
    <xf numFmtId="166" fontId="57" fillId="0" borderId="11" xfId="0" applyNumberFormat="1" applyFont="1" applyFill="1" applyBorder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16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0" fontId="0" fillId="0" borderId="11" xfId="0" applyFont="1" applyFill="1" applyBorder="1" applyAlignment="1">
      <alignment/>
    </xf>
    <xf numFmtId="0" fontId="55" fillId="0" borderId="0" xfId="0" applyFont="1" applyFill="1" applyAlignment="1">
      <alignment vertical="top"/>
    </xf>
    <xf numFmtId="4" fontId="6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 wrapText="1"/>
    </xf>
    <xf numFmtId="166" fontId="58" fillId="0" borderId="11" xfId="0" applyNumberFormat="1" applyFont="1" applyFill="1" applyBorder="1" applyAlignment="1">
      <alignment wrapText="1"/>
    </xf>
    <xf numFmtId="169" fontId="6" fillId="33" borderId="12" xfId="0" applyNumberFormat="1" applyFont="1" applyFill="1" applyBorder="1" applyAlignment="1">
      <alignment horizont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4" fillId="33" borderId="10" xfId="0" applyNumberFormat="1" applyFont="1" applyFill="1" applyBorder="1" applyAlignment="1">
      <alignment horizontal="center" vertical="center" wrapText="1"/>
    </xf>
    <xf numFmtId="169" fontId="3" fillId="33" borderId="11" xfId="0" applyNumberFormat="1" applyFont="1" applyFill="1" applyBorder="1" applyAlignment="1">
      <alignment wrapText="1"/>
    </xf>
    <xf numFmtId="169" fontId="8" fillId="33" borderId="11" xfId="0" applyNumberFormat="1" applyFont="1" applyFill="1" applyBorder="1" applyAlignment="1">
      <alignment wrapText="1"/>
    </xf>
    <xf numFmtId="169" fontId="3" fillId="33" borderId="11" xfId="0" applyNumberFormat="1" applyFont="1" applyFill="1" applyBorder="1" applyAlignment="1">
      <alignment horizontal="right" wrapText="1"/>
    </xf>
    <xf numFmtId="169" fontId="8" fillId="33" borderId="11" xfId="0" applyNumberFormat="1" applyFont="1" applyFill="1" applyBorder="1" applyAlignment="1">
      <alignment horizontal="right" wrapText="1"/>
    </xf>
    <xf numFmtId="169" fontId="8" fillId="33" borderId="11" xfId="0" applyNumberFormat="1" applyFont="1" applyFill="1" applyBorder="1" applyAlignment="1">
      <alignment wrapText="1"/>
    </xf>
    <xf numFmtId="169" fontId="4" fillId="33" borderId="11" xfId="0" applyNumberFormat="1" applyFont="1" applyFill="1" applyBorder="1" applyAlignment="1">
      <alignment wrapText="1"/>
    </xf>
    <xf numFmtId="169" fontId="0" fillId="33" borderId="0" xfId="0" applyNumberFormat="1" applyFont="1" applyFill="1" applyAlignment="1">
      <alignment horizontal="left"/>
    </xf>
    <xf numFmtId="169" fontId="0" fillId="33" borderId="0" xfId="0" applyNumberFormat="1" applyFont="1" applyFill="1" applyAlignment="1">
      <alignment/>
    </xf>
    <xf numFmtId="164" fontId="4" fillId="33" borderId="11" xfId="0" applyNumberFormat="1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center" wrapText="1"/>
    </xf>
    <xf numFmtId="164" fontId="6" fillId="33" borderId="12" xfId="0" applyNumberFormat="1" applyFont="1" applyFill="1" applyBorder="1" applyAlignment="1">
      <alignment horizont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horizontal="right" wrapText="1"/>
    </xf>
    <xf numFmtId="164" fontId="3" fillId="33" borderId="11" xfId="0" applyNumberFormat="1" applyFont="1" applyFill="1" applyBorder="1" applyAlignment="1">
      <alignment horizontal="right" wrapText="1"/>
    </xf>
    <xf numFmtId="164" fontId="8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vertical="center" wrapText="1"/>
    </xf>
    <xf numFmtId="164" fontId="8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8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wrapText="1"/>
    </xf>
    <xf numFmtId="164" fontId="8" fillId="33" borderId="11" xfId="0" applyNumberFormat="1" applyFont="1" applyFill="1" applyBorder="1" applyAlignment="1">
      <alignment wrapText="1"/>
    </xf>
    <xf numFmtId="164" fontId="3" fillId="33" borderId="11" xfId="0" applyNumberFormat="1" applyFont="1" applyFill="1" applyBorder="1" applyAlignment="1">
      <alignment horizontal="right"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164" fontId="4" fillId="33" borderId="11" xfId="0" applyNumberFormat="1" applyFont="1" applyFill="1" applyBorder="1" applyAlignment="1">
      <alignment wrapText="1"/>
    </xf>
    <xf numFmtId="164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4" fontId="3" fillId="33" borderId="11" xfId="0" applyNumberFormat="1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164" fontId="8" fillId="33" borderId="11" xfId="0" applyNumberFormat="1" applyFont="1" applyFill="1" applyBorder="1" applyAlignment="1">
      <alignment horizontal="right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3" fillId="33" borderId="11" xfId="0" applyNumberFormat="1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left" vertical="top" wrapText="1"/>
    </xf>
    <xf numFmtId="164" fontId="56" fillId="0" borderId="11" xfId="0" applyNumberFormat="1" applyFont="1" applyFill="1" applyBorder="1" applyAlignment="1">
      <alignment wrapText="1"/>
    </xf>
    <xf numFmtId="164" fontId="56" fillId="33" borderId="11" xfId="0" applyNumberFormat="1" applyFont="1" applyFill="1" applyBorder="1" applyAlignment="1">
      <alignment wrapText="1"/>
    </xf>
    <xf numFmtId="164" fontId="56" fillId="0" borderId="11" xfId="0" applyNumberFormat="1" applyFont="1" applyFill="1" applyBorder="1" applyAlignment="1">
      <alignment wrapText="1"/>
    </xf>
    <xf numFmtId="164" fontId="56" fillId="0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wrapText="1"/>
    </xf>
    <xf numFmtId="165" fontId="56" fillId="0" borderId="11" xfId="0" applyNumberFormat="1" applyFont="1" applyFill="1" applyBorder="1" applyAlignment="1">
      <alignment wrapText="1"/>
    </xf>
    <xf numFmtId="4" fontId="56" fillId="0" borderId="11" xfId="0" applyNumberFormat="1" applyFont="1" applyFill="1" applyBorder="1" applyAlignment="1">
      <alignment vertical="center" wrapText="1"/>
    </xf>
    <xf numFmtId="4" fontId="56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top" wrapText="1"/>
    </xf>
    <xf numFmtId="169" fontId="4" fillId="33" borderId="16" xfId="0" applyNumberFormat="1" applyFont="1" applyFill="1" applyBorder="1" applyAlignment="1">
      <alignment horizontal="center" vertical="center" wrapText="1"/>
    </xf>
    <xf numFmtId="169" fontId="4" fillId="33" borderId="14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7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top" wrapText="1"/>
    </xf>
    <xf numFmtId="164" fontId="4" fillId="0" borderId="18" xfId="0" applyNumberFormat="1" applyFont="1" applyFill="1" applyBorder="1" applyAlignment="1">
      <alignment horizontal="center" vertical="top" wrapText="1"/>
    </xf>
    <xf numFmtId="164" fontId="4" fillId="33" borderId="16" xfId="0" applyNumberFormat="1" applyFont="1" applyFill="1" applyBorder="1" applyAlignment="1">
      <alignment horizontal="center" vertical="center" wrapText="1"/>
    </xf>
    <xf numFmtId="164" fontId="4" fillId="33" borderId="17" xfId="0" applyNumberFormat="1" applyFont="1" applyFill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9" fontId="4" fillId="0" borderId="11" xfId="144" applyFont="1" applyFill="1" applyBorder="1" applyAlignment="1" applyProtection="1">
      <alignment horizontal="center" vertical="top" wrapText="1"/>
      <protection/>
    </xf>
    <xf numFmtId="4" fontId="6" fillId="0" borderId="16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166" fontId="4" fillId="0" borderId="11" xfId="0" applyNumberFormat="1" applyFont="1" applyFill="1" applyBorder="1" applyAlignment="1">
      <alignment horizontal="left" wrapText="1"/>
    </xf>
    <xf numFmtId="166" fontId="59" fillId="0" borderId="11" xfId="0" applyNumberFormat="1" applyFont="1" applyFill="1" applyBorder="1" applyAlignment="1">
      <alignment horizontal="left" vertical="top" wrapText="1"/>
    </xf>
    <xf numFmtId="166" fontId="4" fillId="0" borderId="11" xfId="0" applyNumberFormat="1" applyFont="1" applyFill="1" applyBorder="1" applyAlignment="1">
      <alignment horizontal="left" vertical="center" wrapText="1"/>
    </xf>
    <xf numFmtId="166" fontId="59" fillId="0" borderId="16" xfId="0" applyNumberFormat="1" applyFont="1" applyFill="1" applyBorder="1" applyAlignment="1">
      <alignment horizontal="left" vertical="center" wrapText="1"/>
    </xf>
    <xf numFmtId="166" fontId="59" fillId="0" borderId="17" xfId="0" applyNumberFormat="1" applyFont="1" applyFill="1" applyBorder="1" applyAlignment="1">
      <alignment horizontal="left" vertical="center" wrapText="1"/>
    </xf>
    <xf numFmtId="166" fontId="59" fillId="0" borderId="14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top" wrapText="1"/>
    </xf>
  </cellXfs>
  <cellStyles count="13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3 2" xfId="57"/>
    <cellStyle name="Обычный 14" xfId="58"/>
    <cellStyle name="Обычный 14 2" xfId="59"/>
    <cellStyle name="Обычный 15" xfId="60"/>
    <cellStyle name="Обычный 16" xfId="61"/>
    <cellStyle name="Обычный 17" xfId="62"/>
    <cellStyle name="Обычный 18" xfId="63"/>
    <cellStyle name="Обычный 19" xfId="64"/>
    <cellStyle name="Обычный 2" xfId="65"/>
    <cellStyle name="Обычный 2 2" xfId="66"/>
    <cellStyle name="Обычный 2 3" xfId="67"/>
    <cellStyle name="Обычный 20" xfId="68"/>
    <cellStyle name="Обычный 21" xfId="69"/>
    <cellStyle name="Обычный 22" xfId="70"/>
    <cellStyle name="Обычный 22 2" xfId="71"/>
    <cellStyle name="Обычный 23" xfId="72"/>
    <cellStyle name="Обычный 24" xfId="73"/>
    <cellStyle name="Обычный 25" xfId="74"/>
    <cellStyle name="Обычный 26" xfId="75"/>
    <cellStyle name="Обычный 27" xfId="76"/>
    <cellStyle name="Обычный 28" xfId="77"/>
    <cellStyle name="Обычный 29" xfId="78"/>
    <cellStyle name="Обычный 3" xfId="79"/>
    <cellStyle name="Обычный 3 2" xfId="80"/>
    <cellStyle name="Обычный 3 3" xfId="81"/>
    <cellStyle name="Обычный 30" xfId="82"/>
    <cellStyle name="Обычный 31" xfId="83"/>
    <cellStyle name="Обычный 32" xfId="84"/>
    <cellStyle name="Обычный 33" xfId="85"/>
    <cellStyle name="Обычный 34" xfId="86"/>
    <cellStyle name="Обычный 35" xfId="87"/>
    <cellStyle name="Обычный 36" xfId="88"/>
    <cellStyle name="Обычный 37" xfId="89"/>
    <cellStyle name="Обычный 38" xfId="90"/>
    <cellStyle name="Обычный 39" xfId="91"/>
    <cellStyle name="Обычный 4" xfId="92"/>
    <cellStyle name="Обычный 40" xfId="93"/>
    <cellStyle name="Обычный 41" xfId="94"/>
    <cellStyle name="Обычный 42" xfId="95"/>
    <cellStyle name="Обычный 43" xfId="96"/>
    <cellStyle name="Обычный 44" xfId="97"/>
    <cellStyle name="Обычный 45" xfId="98"/>
    <cellStyle name="Обычный 46" xfId="99"/>
    <cellStyle name="Обычный 47" xfId="100"/>
    <cellStyle name="Обычный 48" xfId="101"/>
    <cellStyle name="Обычный 49" xfId="102"/>
    <cellStyle name="Обычный 5" xfId="103"/>
    <cellStyle name="Обычный 5 2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67" xfId="123"/>
    <cellStyle name="Обычный 68" xfId="124"/>
    <cellStyle name="Обычный 69" xfId="125"/>
    <cellStyle name="Обычный 7" xfId="126"/>
    <cellStyle name="Обычный 70" xfId="127"/>
    <cellStyle name="Обычный 71" xfId="128"/>
    <cellStyle name="Обычный 72" xfId="129"/>
    <cellStyle name="Обычный 73" xfId="130"/>
    <cellStyle name="Обычный 73 2" xfId="131"/>
    <cellStyle name="Обычный 74" xfId="132"/>
    <cellStyle name="Обычный 75" xfId="133"/>
    <cellStyle name="Обычный 76" xfId="134"/>
    <cellStyle name="Обычный 77" xfId="135"/>
    <cellStyle name="Обычный 78" xfId="136"/>
    <cellStyle name="Обычный 79" xfId="137"/>
    <cellStyle name="Обычный 8" xfId="138"/>
    <cellStyle name="Обычный 9" xfId="139"/>
    <cellStyle name="Плохой" xfId="140"/>
    <cellStyle name="Пояснение" xfId="141"/>
    <cellStyle name="Примечание" xfId="142"/>
    <cellStyle name="Percent" xfId="143"/>
    <cellStyle name="Процентный 2" xfId="144"/>
    <cellStyle name="Процентный 2 2" xfId="145"/>
    <cellStyle name="Связанная ячейка" xfId="146"/>
    <cellStyle name="Текст предупреждения" xfId="147"/>
    <cellStyle name="Comma" xfId="148"/>
    <cellStyle name="Comma [0]" xfId="149"/>
    <cellStyle name="Финансовый 2" xfId="150"/>
    <cellStyle name="Финансовый 3" xfId="151"/>
    <cellStyle name="Хороший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80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91"/>
  <sheetViews>
    <sheetView tabSelected="1" zoomScale="89" zoomScaleNormal="89" zoomScalePageLayoutView="0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I90" sqref="I90"/>
    </sheetView>
  </sheetViews>
  <sheetFormatPr defaultColWidth="9.00390625" defaultRowHeight="12.75"/>
  <cols>
    <col min="1" max="2" width="9.125" style="62" customWidth="1"/>
    <col min="3" max="3" width="67.625" style="62" customWidth="1"/>
    <col min="4" max="4" width="14.625" style="67" customWidth="1"/>
    <col min="5" max="5" width="15.625" style="132" customWidth="1"/>
    <col min="6" max="7" width="13.00390625" style="132" customWidth="1"/>
    <col min="8" max="8" width="16.25390625" style="112" customWidth="1"/>
    <col min="9" max="9" width="13.875" style="112" customWidth="1"/>
    <col min="10" max="10" width="15.125" style="62" customWidth="1"/>
    <col min="11" max="11" width="14.375" style="62" customWidth="1"/>
    <col min="12" max="12" width="15.625" style="62" customWidth="1"/>
    <col min="13" max="13" width="13.75390625" style="62" customWidth="1"/>
    <col min="14" max="14" width="13.125" style="62" customWidth="1"/>
    <col min="15" max="15" width="10.125" style="62" customWidth="1"/>
    <col min="16" max="16" width="9.25390625" style="62" customWidth="1"/>
    <col min="17" max="17" width="13.00390625" style="84" hidden="1" customWidth="1"/>
    <col min="18" max="18" width="12.625" style="84" hidden="1" customWidth="1"/>
    <col min="19" max="19" width="16.75390625" style="62" hidden="1" customWidth="1"/>
    <col min="20" max="20" width="15.125" style="62" hidden="1" customWidth="1"/>
    <col min="21" max="21" width="14.875" style="62" hidden="1" customWidth="1"/>
    <col min="22" max="22" width="18.375" style="62" hidden="1" customWidth="1"/>
    <col min="23" max="23" width="14.25390625" style="62" hidden="1" customWidth="1"/>
    <col min="24" max="24" width="9.125" style="62" hidden="1" customWidth="1"/>
    <col min="25" max="25" width="9.125" style="62" customWidth="1"/>
    <col min="26" max="26" width="16.625" style="62" customWidth="1"/>
    <col min="27" max="27" width="9.125" style="62" customWidth="1"/>
    <col min="28" max="28" width="15.75390625" style="62" customWidth="1"/>
    <col min="29" max="16384" width="9.125" style="62" customWidth="1"/>
  </cols>
  <sheetData>
    <row r="1" spans="1:24" ht="20.25">
      <c r="A1" s="164" t="s">
        <v>95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77" t="s">
        <v>87</v>
      </c>
      <c r="R1" s="77"/>
      <c r="S1" s="1"/>
      <c r="T1" s="1"/>
      <c r="U1" s="1"/>
      <c r="V1" s="1"/>
      <c r="W1" s="1"/>
      <c r="X1" s="2"/>
    </row>
    <row r="2" spans="1:24" ht="20.25">
      <c r="A2" s="36"/>
      <c r="B2" s="37"/>
      <c r="C2" s="34"/>
      <c r="D2" s="134"/>
      <c r="E2" s="114"/>
      <c r="F2" s="114"/>
      <c r="G2" s="115"/>
      <c r="H2" s="102"/>
      <c r="I2" s="102"/>
      <c r="J2" s="34"/>
      <c r="K2" s="34"/>
      <c r="L2" s="34"/>
      <c r="M2" s="34"/>
      <c r="N2" s="34"/>
      <c r="O2" s="33"/>
      <c r="P2" s="33" t="s">
        <v>0</v>
      </c>
      <c r="Q2" s="78"/>
      <c r="R2" s="78"/>
      <c r="S2" s="165" t="s">
        <v>111</v>
      </c>
      <c r="T2" s="166"/>
      <c r="U2" s="166"/>
      <c r="V2" s="166"/>
      <c r="W2" s="167"/>
      <c r="X2" s="2"/>
    </row>
    <row r="3" spans="1:24" ht="20.25" customHeight="1">
      <c r="A3" s="168" t="s">
        <v>1</v>
      </c>
      <c r="B3" s="154" t="s">
        <v>2</v>
      </c>
      <c r="C3" s="169" t="s">
        <v>3</v>
      </c>
      <c r="D3" s="171" t="s">
        <v>113</v>
      </c>
      <c r="E3" s="173" t="s">
        <v>94</v>
      </c>
      <c r="F3" s="174"/>
      <c r="G3" s="175"/>
      <c r="H3" s="149" t="s">
        <v>96</v>
      </c>
      <c r="I3" s="150"/>
      <c r="J3" s="151" t="s">
        <v>4</v>
      </c>
      <c r="K3" s="152"/>
      <c r="L3" s="152"/>
      <c r="M3" s="153"/>
      <c r="N3" s="154" t="s">
        <v>109</v>
      </c>
      <c r="O3" s="176" t="s">
        <v>107</v>
      </c>
      <c r="P3" s="154" t="s">
        <v>108</v>
      </c>
      <c r="Q3" s="79"/>
      <c r="R3" s="79"/>
      <c r="S3" s="177" t="s">
        <v>5</v>
      </c>
      <c r="T3" s="178"/>
      <c r="U3" s="99" t="s">
        <v>90</v>
      </c>
      <c r="V3" s="179" t="s">
        <v>110</v>
      </c>
      <c r="W3" s="180"/>
      <c r="X3" s="2"/>
    </row>
    <row r="4" spans="1:24" ht="63">
      <c r="A4" s="168"/>
      <c r="B4" s="154"/>
      <c r="C4" s="170"/>
      <c r="D4" s="172"/>
      <c r="E4" s="116" t="s">
        <v>91</v>
      </c>
      <c r="F4" s="116" t="s">
        <v>114</v>
      </c>
      <c r="G4" s="116" t="s">
        <v>115</v>
      </c>
      <c r="H4" s="103" t="s">
        <v>116</v>
      </c>
      <c r="I4" s="104" t="s">
        <v>115</v>
      </c>
      <c r="J4" s="3" t="s">
        <v>97</v>
      </c>
      <c r="K4" s="3" t="s">
        <v>6</v>
      </c>
      <c r="L4" s="3" t="s">
        <v>98</v>
      </c>
      <c r="M4" s="3" t="s">
        <v>120</v>
      </c>
      <c r="N4" s="154"/>
      <c r="O4" s="176"/>
      <c r="P4" s="154"/>
      <c r="Q4" s="79"/>
      <c r="R4" s="79"/>
      <c r="S4" s="3" t="s">
        <v>117</v>
      </c>
      <c r="T4" s="3" t="s">
        <v>121</v>
      </c>
      <c r="U4" s="100" t="s">
        <v>118</v>
      </c>
      <c r="V4" s="3" t="s">
        <v>119</v>
      </c>
      <c r="W4" s="3" t="s">
        <v>115</v>
      </c>
      <c r="X4" s="30" t="s">
        <v>105</v>
      </c>
    </row>
    <row r="5" spans="1:26" ht="29.25" customHeight="1">
      <c r="A5" s="90"/>
      <c r="B5" s="91"/>
      <c r="C5" s="92" t="s">
        <v>7</v>
      </c>
      <c r="D5" s="95">
        <f aca="true" t="shared" si="0" ref="D5:I5">D17+D19+D21+D18+D20</f>
        <v>7416068.309999999</v>
      </c>
      <c r="E5" s="95">
        <f t="shared" si="0"/>
        <v>20002935.000000004</v>
      </c>
      <c r="F5" s="95">
        <f t="shared" si="0"/>
        <v>7871508.6</v>
      </c>
      <c r="G5" s="95">
        <f t="shared" si="0"/>
        <v>97469.6</v>
      </c>
      <c r="H5" s="95">
        <f t="shared" si="0"/>
        <v>7310799.909999998</v>
      </c>
      <c r="I5" s="95">
        <f t="shared" si="0"/>
        <v>49928.759999999995</v>
      </c>
      <c r="J5" s="47">
        <f>H5-D5</f>
        <v>-105268.40000000037</v>
      </c>
      <c r="K5" s="47">
        <f>H5-F5</f>
        <v>-560708.6900000013</v>
      </c>
      <c r="L5" s="47">
        <f>H5-E5</f>
        <v>-12692135.090000005</v>
      </c>
      <c r="M5" s="47">
        <f>I5-G5</f>
        <v>-47540.84000000001</v>
      </c>
      <c r="N5" s="48">
        <f aca="true" t="shared" si="1" ref="N5:N47">_xlfn.IFERROR(H5/D5,"")</f>
        <v>0.9858053626801072</v>
      </c>
      <c r="O5" s="48">
        <f aca="true" t="shared" si="2" ref="O5:O36">_xlfn.IFERROR(H5/F5,"")</f>
        <v>0.9287673153275852</v>
      </c>
      <c r="P5" s="48">
        <f aca="true" t="shared" si="3" ref="P5:P36">_xlfn.IFERROR(H5/E5,"")</f>
        <v>0.3654863603766146</v>
      </c>
      <c r="Q5" s="80">
        <f aca="true" t="shared" si="4" ref="Q5:Q36">V5-H5</f>
        <v>0</v>
      </c>
      <c r="R5" s="80">
        <f aca="true" t="shared" si="5" ref="R5:R36">W5-I5</f>
        <v>0</v>
      </c>
      <c r="S5" s="41">
        <f>S17+S19+S21+S18+S20</f>
        <v>7309537.3999999985</v>
      </c>
      <c r="T5" s="41">
        <f>T17+T19+T21+T18+T20</f>
        <v>48666.24999999999</v>
      </c>
      <c r="U5" s="41">
        <f>U17+U19+U21+U18+U20</f>
        <v>1262.51</v>
      </c>
      <c r="V5" s="41">
        <f>V17+V19+V21+V18+V20</f>
        <v>7310799.909999998</v>
      </c>
      <c r="W5" s="41">
        <f>W17+W19+W21+W18+W20</f>
        <v>49928.759999999995</v>
      </c>
      <c r="X5" s="49"/>
      <c r="Z5" s="75"/>
    </row>
    <row r="6" spans="1:29" ht="15.75">
      <c r="A6" s="155" t="s">
        <v>11</v>
      </c>
      <c r="B6" s="71" t="s">
        <v>12</v>
      </c>
      <c r="C6" s="8" t="s">
        <v>13</v>
      </c>
      <c r="D6" s="9">
        <v>5597902.269999999</v>
      </c>
      <c r="E6" s="117">
        <f>14235121.9+613644.6</f>
        <v>14848766.5</v>
      </c>
      <c r="F6" s="117">
        <v>5839946.1</v>
      </c>
      <c r="G6" s="117">
        <v>24288.6</v>
      </c>
      <c r="H6" s="9">
        <v>5535012.96</v>
      </c>
      <c r="I6" s="9">
        <v>20163.819999999996</v>
      </c>
      <c r="J6" s="9">
        <f aca="true" t="shared" si="6" ref="J6:J61">H6-D6</f>
        <v>-62889.30999999866</v>
      </c>
      <c r="K6" s="9">
        <f aca="true" t="shared" si="7" ref="K6:K70">H6-F6</f>
        <v>-304933.13999999966</v>
      </c>
      <c r="L6" s="9">
        <f aca="true" t="shared" si="8" ref="L6:L70">H6-E6</f>
        <v>-9313753.54</v>
      </c>
      <c r="M6" s="9">
        <f>I6-G6</f>
        <v>-4124.7800000000025</v>
      </c>
      <c r="N6" s="43">
        <f t="shared" si="1"/>
        <v>0.9887655577095313</v>
      </c>
      <c r="O6" s="43">
        <f t="shared" si="2"/>
        <v>0.9477849393164777</v>
      </c>
      <c r="P6" s="43">
        <f t="shared" si="3"/>
        <v>0.3727591083070772</v>
      </c>
      <c r="Q6" s="80">
        <f t="shared" si="4"/>
        <v>0</v>
      </c>
      <c r="R6" s="80">
        <f t="shared" si="5"/>
        <v>0</v>
      </c>
      <c r="S6" s="24">
        <v>5534725.4799999995</v>
      </c>
      <c r="T6" s="24">
        <v>19876.339999999997</v>
      </c>
      <c r="U6" s="24">
        <v>287.48</v>
      </c>
      <c r="V6" s="6">
        <f>S6+U6</f>
        <v>5535012.96</v>
      </c>
      <c r="W6" s="6">
        <f>T6+U6</f>
        <v>20163.819999999996</v>
      </c>
      <c r="X6" s="2"/>
      <c r="AC6" s="75"/>
    </row>
    <row r="7" spans="1:29" ht="15.75">
      <c r="A7" s="156"/>
      <c r="B7" s="71" t="s">
        <v>8</v>
      </c>
      <c r="C7" s="4" t="s">
        <v>9</v>
      </c>
      <c r="D7" s="5">
        <v>35264.86</v>
      </c>
      <c r="E7" s="93">
        <v>80057.5</v>
      </c>
      <c r="F7" s="93">
        <v>44330</v>
      </c>
      <c r="G7" s="93">
        <v>6820</v>
      </c>
      <c r="H7" s="9">
        <v>37354.57</v>
      </c>
      <c r="I7" s="9">
        <v>0</v>
      </c>
      <c r="J7" s="5">
        <f>H7-D7</f>
        <v>2089.709999999999</v>
      </c>
      <c r="K7" s="5">
        <f>H7-F7</f>
        <v>-6975.43</v>
      </c>
      <c r="L7" s="5">
        <f>H7-E7</f>
        <v>-42702.93</v>
      </c>
      <c r="M7" s="5">
        <f>I7-G7</f>
        <v>-6820</v>
      </c>
      <c r="N7" s="43">
        <f t="shared" si="1"/>
        <v>1.0592575725523934</v>
      </c>
      <c r="O7" s="43">
        <f t="shared" si="2"/>
        <v>0.8426476426799008</v>
      </c>
      <c r="P7" s="43">
        <f t="shared" si="3"/>
        <v>0.4665967585797708</v>
      </c>
      <c r="Q7" s="80">
        <f t="shared" si="4"/>
        <v>0</v>
      </c>
      <c r="R7" s="80">
        <f t="shared" si="5"/>
        <v>0</v>
      </c>
      <c r="S7" s="6">
        <v>37354.57</v>
      </c>
      <c r="T7" s="24"/>
      <c r="U7" s="97"/>
      <c r="V7" s="6">
        <f aca="true" t="shared" si="9" ref="V7:V21">S7+U7</f>
        <v>37354.57</v>
      </c>
      <c r="W7" s="6">
        <f aca="true" t="shared" si="10" ref="W7:W21">T7+U7</f>
        <v>0</v>
      </c>
      <c r="X7" s="2"/>
      <c r="AC7" s="75"/>
    </row>
    <row r="8" spans="1:29" ht="15.75">
      <c r="A8" s="156"/>
      <c r="B8" s="71" t="s">
        <v>12</v>
      </c>
      <c r="C8" s="8" t="s">
        <v>99</v>
      </c>
      <c r="D8" s="9"/>
      <c r="E8" s="118">
        <v>1204375.9</v>
      </c>
      <c r="F8" s="118">
        <v>648721.5</v>
      </c>
      <c r="G8" s="118">
        <v>0</v>
      </c>
      <c r="H8" s="9">
        <v>550687.2199999997</v>
      </c>
      <c r="I8" s="9">
        <v>2543.24</v>
      </c>
      <c r="J8" s="9">
        <f>H8-D8</f>
        <v>550687.2199999997</v>
      </c>
      <c r="K8" s="9">
        <f>H8-F8</f>
        <v>-98034.28000000026</v>
      </c>
      <c r="L8" s="9">
        <f>H8-E8</f>
        <v>-653688.6800000002</v>
      </c>
      <c r="M8" s="9">
        <f aca="true" t="shared" si="11" ref="M8:M70">I8-G8</f>
        <v>2543.24</v>
      </c>
      <c r="N8" s="43">
        <f t="shared" si="1"/>
      </c>
      <c r="O8" s="43">
        <f t="shared" si="2"/>
        <v>0.8488807909095039</v>
      </c>
      <c r="P8" s="43">
        <f t="shared" si="3"/>
        <v>0.4572386577977854</v>
      </c>
      <c r="Q8" s="80">
        <f t="shared" si="4"/>
        <v>0</v>
      </c>
      <c r="R8" s="80">
        <f t="shared" si="5"/>
        <v>0</v>
      </c>
      <c r="S8" s="6">
        <v>550687.2199999997</v>
      </c>
      <c r="T8" s="6">
        <v>2543.24</v>
      </c>
      <c r="U8" s="24"/>
      <c r="V8" s="6">
        <f t="shared" si="9"/>
        <v>550687.2199999997</v>
      </c>
      <c r="W8" s="6">
        <f t="shared" si="10"/>
        <v>2543.24</v>
      </c>
      <c r="X8" s="2"/>
      <c r="AC8" s="75"/>
    </row>
    <row r="9" spans="1:29" ht="15.75">
      <c r="A9" s="156"/>
      <c r="B9" s="71" t="s">
        <v>12</v>
      </c>
      <c r="C9" s="8" t="s">
        <v>14</v>
      </c>
      <c r="D9" s="9">
        <v>416.6700000000001</v>
      </c>
      <c r="E9" s="117"/>
      <c r="F9" s="117"/>
      <c r="G9" s="117"/>
      <c r="H9" s="9">
        <v>-1962.38</v>
      </c>
      <c r="I9" s="9">
        <v>13.2</v>
      </c>
      <c r="J9" s="9">
        <f t="shared" si="6"/>
        <v>-2379.05</v>
      </c>
      <c r="K9" s="9">
        <f>H9-F9</f>
        <v>-1962.38</v>
      </c>
      <c r="L9" s="9">
        <f t="shared" si="8"/>
        <v>-1962.38</v>
      </c>
      <c r="M9" s="9">
        <f t="shared" si="11"/>
        <v>13.2</v>
      </c>
      <c r="N9" s="43">
        <f t="shared" si="1"/>
        <v>-4.7096743226054185</v>
      </c>
      <c r="O9" s="43">
        <f t="shared" si="2"/>
      </c>
      <c r="P9" s="43">
        <f t="shared" si="3"/>
      </c>
      <c r="Q9" s="80">
        <f t="shared" si="4"/>
        <v>0</v>
      </c>
      <c r="R9" s="80">
        <f t="shared" si="5"/>
        <v>0</v>
      </c>
      <c r="S9" s="6">
        <v>-1962.38</v>
      </c>
      <c r="T9" s="6">
        <v>13.2</v>
      </c>
      <c r="U9" s="24"/>
      <c r="V9" s="6">
        <f t="shared" si="9"/>
        <v>-1962.38</v>
      </c>
      <c r="W9" s="6">
        <f t="shared" si="10"/>
        <v>13.2</v>
      </c>
      <c r="X9" s="2"/>
      <c r="AC9" s="75"/>
    </row>
    <row r="10" spans="1:29" ht="15.75">
      <c r="A10" s="156"/>
      <c r="B10" s="71" t="s">
        <v>12</v>
      </c>
      <c r="C10" s="8" t="s">
        <v>15</v>
      </c>
      <c r="D10" s="9">
        <v>2174.06</v>
      </c>
      <c r="E10" s="117">
        <v>4690.3</v>
      </c>
      <c r="F10" s="117">
        <v>2720.4</v>
      </c>
      <c r="G10" s="117">
        <v>0</v>
      </c>
      <c r="H10" s="9">
        <v>-1457.88</v>
      </c>
      <c r="I10" s="9">
        <v>0</v>
      </c>
      <c r="J10" s="9">
        <f t="shared" si="6"/>
        <v>-3631.94</v>
      </c>
      <c r="K10" s="9">
        <f t="shared" si="7"/>
        <v>-4178.280000000001</v>
      </c>
      <c r="L10" s="9">
        <f t="shared" si="8"/>
        <v>-6148.18</v>
      </c>
      <c r="M10" s="9">
        <f t="shared" si="11"/>
        <v>0</v>
      </c>
      <c r="N10" s="43">
        <f t="shared" si="1"/>
        <v>-0.6705794688279073</v>
      </c>
      <c r="O10" s="43">
        <f t="shared" si="2"/>
        <v>-0.5359064843405382</v>
      </c>
      <c r="P10" s="43">
        <f t="shared" si="3"/>
        <v>-0.31082873163763514</v>
      </c>
      <c r="Q10" s="80">
        <f t="shared" si="4"/>
        <v>0</v>
      </c>
      <c r="R10" s="80">
        <f t="shared" si="5"/>
        <v>0</v>
      </c>
      <c r="S10" s="11">
        <v>-1457.88</v>
      </c>
      <c r="T10" s="11"/>
      <c r="U10" s="39"/>
      <c r="V10" s="6">
        <f t="shared" si="9"/>
        <v>-1457.88</v>
      </c>
      <c r="W10" s="6">
        <f t="shared" si="10"/>
        <v>0</v>
      </c>
      <c r="X10" s="2"/>
      <c r="AC10" s="75"/>
    </row>
    <row r="11" spans="1:29" ht="15.75">
      <c r="A11" s="156"/>
      <c r="B11" s="71" t="s">
        <v>12</v>
      </c>
      <c r="C11" s="8" t="s">
        <v>101</v>
      </c>
      <c r="D11" s="9">
        <v>123878.16999999998</v>
      </c>
      <c r="E11" s="117">
        <v>314766.5</v>
      </c>
      <c r="F11" s="117">
        <v>156403</v>
      </c>
      <c r="G11" s="117">
        <v>30756</v>
      </c>
      <c r="H11" s="9">
        <v>121632.77</v>
      </c>
      <c r="I11" s="9">
        <v>17282.34</v>
      </c>
      <c r="J11" s="9">
        <f t="shared" si="6"/>
        <v>-2245.3999999999796</v>
      </c>
      <c r="K11" s="9">
        <f t="shared" si="7"/>
        <v>-34770.229999999996</v>
      </c>
      <c r="L11" s="9">
        <f t="shared" si="8"/>
        <v>-193133.72999999998</v>
      </c>
      <c r="M11" s="9">
        <f t="shared" si="11"/>
        <v>-13473.66</v>
      </c>
      <c r="N11" s="43">
        <f t="shared" si="1"/>
        <v>0.9818741268134653</v>
      </c>
      <c r="O11" s="43">
        <f t="shared" si="2"/>
        <v>0.7776882156991873</v>
      </c>
      <c r="P11" s="43">
        <f t="shared" si="3"/>
        <v>0.3864222209161394</v>
      </c>
      <c r="Q11" s="80">
        <f t="shared" si="4"/>
        <v>0</v>
      </c>
      <c r="R11" s="80">
        <f t="shared" si="5"/>
        <v>0</v>
      </c>
      <c r="S11" s="11">
        <v>121632.77</v>
      </c>
      <c r="T11" s="11">
        <v>17282.34</v>
      </c>
      <c r="U11" s="39"/>
      <c r="V11" s="6">
        <f t="shared" si="9"/>
        <v>121632.77</v>
      </c>
      <c r="W11" s="6">
        <f t="shared" si="10"/>
        <v>17282.34</v>
      </c>
      <c r="X11" s="2"/>
      <c r="AC11" s="75"/>
    </row>
    <row r="12" spans="1:29" ht="15.75">
      <c r="A12" s="156"/>
      <c r="B12" s="71" t="s">
        <v>16</v>
      </c>
      <c r="C12" s="8" t="s">
        <v>17</v>
      </c>
      <c r="D12" s="9">
        <v>56555.85999999999</v>
      </c>
      <c r="E12" s="117">
        <v>1083466.2</v>
      </c>
      <c r="F12" s="117">
        <v>77100</v>
      </c>
      <c r="G12" s="117">
        <v>9200</v>
      </c>
      <c r="H12" s="9">
        <v>39572.02</v>
      </c>
      <c r="I12" s="9">
        <v>1021.43</v>
      </c>
      <c r="J12" s="9">
        <f t="shared" si="6"/>
        <v>-16983.839999999997</v>
      </c>
      <c r="K12" s="9">
        <f t="shared" si="7"/>
        <v>-37527.98</v>
      </c>
      <c r="L12" s="9">
        <f t="shared" si="8"/>
        <v>-1043894.1799999999</v>
      </c>
      <c r="M12" s="9">
        <f t="shared" si="11"/>
        <v>-8178.57</v>
      </c>
      <c r="N12" s="43">
        <f t="shared" si="1"/>
        <v>0.6996979623331694</v>
      </c>
      <c r="O12" s="43">
        <f t="shared" si="2"/>
        <v>0.5132557717250323</v>
      </c>
      <c r="P12" s="43">
        <f t="shared" si="3"/>
        <v>0.03652353898995649</v>
      </c>
      <c r="Q12" s="80">
        <f t="shared" si="4"/>
        <v>0</v>
      </c>
      <c r="R12" s="80">
        <f t="shared" si="5"/>
        <v>0</v>
      </c>
      <c r="S12" s="11">
        <v>39572.02</v>
      </c>
      <c r="T12" s="11">
        <v>1021.43</v>
      </c>
      <c r="U12" s="39"/>
      <c r="V12" s="6">
        <f t="shared" si="9"/>
        <v>39572.02</v>
      </c>
      <c r="W12" s="6">
        <f t="shared" si="10"/>
        <v>1021.43</v>
      </c>
      <c r="X12" s="2"/>
      <c r="AC12" s="75"/>
    </row>
    <row r="13" spans="1:29" ht="15.75">
      <c r="A13" s="156"/>
      <c r="B13" s="71" t="s">
        <v>80</v>
      </c>
      <c r="C13" s="8" t="s">
        <v>104</v>
      </c>
      <c r="D13" s="9">
        <v>347266.23</v>
      </c>
      <c r="E13" s="117"/>
      <c r="F13" s="117"/>
      <c r="G13" s="117"/>
      <c r="H13" s="9">
        <v>0</v>
      </c>
      <c r="I13" s="9">
        <v>0</v>
      </c>
      <c r="J13" s="9">
        <f t="shared" si="6"/>
        <v>-347266.23</v>
      </c>
      <c r="K13" s="9">
        <f t="shared" si="7"/>
        <v>0</v>
      </c>
      <c r="L13" s="9">
        <f t="shared" si="8"/>
        <v>0</v>
      </c>
      <c r="M13" s="9">
        <f t="shared" si="11"/>
        <v>0</v>
      </c>
      <c r="N13" s="43">
        <f t="shared" si="1"/>
        <v>0</v>
      </c>
      <c r="O13" s="43">
        <f t="shared" si="2"/>
      </c>
      <c r="P13" s="43">
        <f t="shared" si="3"/>
      </c>
      <c r="Q13" s="80">
        <f t="shared" si="4"/>
        <v>0</v>
      </c>
      <c r="R13" s="80">
        <f t="shared" si="5"/>
        <v>0</v>
      </c>
      <c r="S13" s="96"/>
      <c r="T13" s="11"/>
      <c r="U13" s="39"/>
      <c r="V13" s="6">
        <f t="shared" si="9"/>
        <v>0</v>
      </c>
      <c r="W13" s="6">
        <f t="shared" si="10"/>
        <v>0</v>
      </c>
      <c r="X13" s="2"/>
      <c r="AC13" s="75"/>
    </row>
    <row r="14" spans="1:29" ht="15.75">
      <c r="A14" s="156"/>
      <c r="B14" s="71" t="s">
        <v>16</v>
      </c>
      <c r="C14" s="8" t="s">
        <v>18</v>
      </c>
      <c r="D14" s="9">
        <v>1141569.6500000001</v>
      </c>
      <c r="E14" s="117">
        <v>2237196.9</v>
      </c>
      <c r="F14" s="117">
        <v>975000</v>
      </c>
      <c r="G14" s="117">
        <v>7200</v>
      </c>
      <c r="H14" s="9">
        <v>929955.85</v>
      </c>
      <c r="I14" s="9">
        <v>4686.49</v>
      </c>
      <c r="J14" s="9">
        <f t="shared" si="6"/>
        <v>-211613.80000000016</v>
      </c>
      <c r="K14" s="9">
        <f t="shared" si="7"/>
        <v>-45044.15000000002</v>
      </c>
      <c r="L14" s="9">
        <f t="shared" si="8"/>
        <v>-1307241.0499999998</v>
      </c>
      <c r="M14" s="9">
        <f t="shared" si="11"/>
        <v>-2513.51</v>
      </c>
      <c r="N14" s="43">
        <f t="shared" si="1"/>
        <v>0.8146290942475563</v>
      </c>
      <c r="O14" s="43">
        <f t="shared" si="2"/>
        <v>0.9538008717948717</v>
      </c>
      <c r="P14" s="43">
        <f t="shared" si="3"/>
        <v>0.4156790356718267</v>
      </c>
      <c r="Q14" s="80">
        <f t="shared" si="4"/>
        <v>0</v>
      </c>
      <c r="R14" s="80">
        <f t="shared" si="5"/>
        <v>0</v>
      </c>
      <c r="S14" s="11">
        <v>929955.85</v>
      </c>
      <c r="T14" s="11">
        <v>4686.49</v>
      </c>
      <c r="U14" s="39"/>
      <c r="V14" s="6">
        <f t="shared" si="9"/>
        <v>929955.85</v>
      </c>
      <c r="W14" s="6">
        <f t="shared" si="10"/>
        <v>4686.49</v>
      </c>
      <c r="X14" s="2"/>
      <c r="AC14" s="75"/>
    </row>
    <row r="15" spans="1:29" ht="15.75">
      <c r="A15" s="156"/>
      <c r="B15" s="71" t="s">
        <v>19</v>
      </c>
      <c r="C15" s="8" t="s">
        <v>20</v>
      </c>
      <c r="D15" s="9">
        <v>110335.68000000001</v>
      </c>
      <c r="E15" s="117">
        <v>228385.6</v>
      </c>
      <c r="F15" s="117">
        <v>126580.6</v>
      </c>
      <c r="G15" s="117">
        <v>19110</v>
      </c>
      <c r="H15" s="9">
        <v>99839.56</v>
      </c>
      <c r="I15" s="9">
        <v>4192.64</v>
      </c>
      <c r="J15" s="9">
        <f t="shared" si="6"/>
        <v>-10496.12000000001</v>
      </c>
      <c r="K15" s="9">
        <f t="shared" si="7"/>
        <v>-26741.040000000008</v>
      </c>
      <c r="L15" s="9">
        <f t="shared" si="8"/>
        <v>-128546.04000000001</v>
      </c>
      <c r="M15" s="9">
        <f t="shared" si="11"/>
        <v>-14917.36</v>
      </c>
      <c r="N15" s="43">
        <f t="shared" si="1"/>
        <v>0.9048710263080808</v>
      </c>
      <c r="O15" s="43">
        <f t="shared" si="2"/>
        <v>0.788742982731951</v>
      </c>
      <c r="P15" s="43">
        <f t="shared" si="3"/>
        <v>0.43715348077987404</v>
      </c>
      <c r="Q15" s="80">
        <f t="shared" si="4"/>
        <v>0</v>
      </c>
      <c r="R15" s="80">
        <f t="shared" si="5"/>
        <v>0</v>
      </c>
      <c r="S15" s="11">
        <v>98864.53</v>
      </c>
      <c r="T15" s="11">
        <v>3217.61</v>
      </c>
      <c r="U15" s="39">
        <v>975.03</v>
      </c>
      <c r="V15" s="6">
        <f>S15+U15</f>
        <v>99839.56</v>
      </c>
      <c r="W15" s="6">
        <f>T15+U15</f>
        <v>4192.64</v>
      </c>
      <c r="X15" s="2"/>
      <c r="AC15" s="75"/>
    </row>
    <row r="16" spans="1:29" ht="15.75">
      <c r="A16" s="156"/>
      <c r="B16" s="71" t="s">
        <v>16</v>
      </c>
      <c r="C16" s="8" t="s">
        <v>21</v>
      </c>
      <c r="D16" s="9">
        <v>18.06</v>
      </c>
      <c r="E16" s="117"/>
      <c r="F16" s="117"/>
      <c r="G16" s="117"/>
      <c r="H16" s="9">
        <v>-0.1</v>
      </c>
      <c r="I16" s="9">
        <v>0</v>
      </c>
      <c r="J16" s="9">
        <f t="shared" si="6"/>
        <v>-18.16</v>
      </c>
      <c r="K16" s="9">
        <f t="shared" si="7"/>
        <v>-0.1</v>
      </c>
      <c r="L16" s="9">
        <f t="shared" si="8"/>
        <v>-0.1</v>
      </c>
      <c r="M16" s="9">
        <f t="shared" si="11"/>
        <v>0</v>
      </c>
      <c r="N16" s="43">
        <f t="shared" si="1"/>
        <v>-0.005537098560354375</v>
      </c>
      <c r="O16" s="43">
        <f t="shared" si="2"/>
      </c>
      <c r="P16" s="43">
        <f t="shared" si="3"/>
      </c>
      <c r="Q16" s="80">
        <f t="shared" si="4"/>
        <v>0</v>
      </c>
      <c r="R16" s="80">
        <f t="shared" si="5"/>
        <v>0</v>
      </c>
      <c r="S16" s="11">
        <v>-0.1</v>
      </c>
      <c r="T16" s="11"/>
      <c r="U16" s="11"/>
      <c r="V16" s="6">
        <f t="shared" si="9"/>
        <v>-0.1</v>
      </c>
      <c r="W16" s="6">
        <f t="shared" si="10"/>
        <v>0</v>
      </c>
      <c r="X16" s="2"/>
      <c r="AC16" s="75"/>
    </row>
    <row r="17" spans="1:29" ht="15.75">
      <c r="A17" s="157"/>
      <c r="B17" s="53"/>
      <c r="C17" s="54" t="s">
        <v>10</v>
      </c>
      <c r="D17" s="35">
        <f aca="true" t="shared" si="12" ref="D17:I17">SUM(D6:D16)</f>
        <v>7415381.509999999</v>
      </c>
      <c r="E17" s="119">
        <f t="shared" si="12"/>
        <v>20001705.400000002</v>
      </c>
      <c r="F17" s="119">
        <f t="shared" si="12"/>
        <v>7870801.6</v>
      </c>
      <c r="G17" s="119">
        <f t="shared" si="12"/>
        <v>97374.6</v>
      </c>
      <c r="H17" s="119">
        <f t="shared" si="12"/>
        <v>7310634.589999999</v>
      </c>
      <c r="I17" s="119">
        <f t="shared" si="12"/>
        <v>49903.159999999996</v>
      </c>
      <c r="J17" s="35">
        <f t="shared" si="6"/>
        <v>-104746.91999999993</v>
      </c>
      <c r="K17" s="35">
        <f t="shared" si="7"/>
        <v>-560167.0100000007</v>
      </c>
      <c r="L17" s="35">
        <f t="shared" si="8"/>
        <v>-12691070.810000002</v>
      </c>
      <c r="M17" s="35">
        <f>I17-G17</f>
        <v>-47471.44000000001</v>
      </c>
      <c r="N17" s="55">
        <f t="shared" si="1"/>
        <v>0.9858743720928258</v>
      </c>
      <c r="O17" s="55">
        <f t="shared" si="2"/>
        <v>0.9288297382569012</v>
      </c>
      <c r="P17" s="55">
        <f t="shared" si="3"/>
        <v>0.3655005632669701</v>
      </c>
      <c r="Q17" s="81">
        <f t="shared" si="4"/>
        <v>0</v>
      </c>
      <c r="R17" s="81">
        <f t="shared" si="5"/>
        <v>0</v>
      </c>
      <c r="S17" s="56">
        <f>SUM(S6:S16)</f>
        <v>7309372.079999999</v>
      </c>
      <c r="T17" s="56">
        <f>SUM(T6:T16)</f>
        <v>48640.649999999994</v>
      </c>
      <c r="U17" s="56">
        <f>SUM(U6:U16)</f>
        <v>1262.51</v>
      </c>
      <c r="V17" s="6">
        <f t="shared" si="9"/>
        <v>7310634.589999999</v>
      </c>
      <c r="W17" s="6">
        <f t="shared" si="10"/>
        <v>49903.159999999996</v>
      </c>
      <c r="X17" s="7"/>
      <c r="AC17" s="75"/>
    </row>
    <row r="18" spans="1:29" ht="15.75">
      <c r="A18" s="72" t="s">
        <v>77</v>
      </c>
      <c r="B18" s="71" t="s">
        <v>23</v>
      </c>
      <c r="C18" s="8" t="s">
        <v>24</v>
      </c>
      <c r="D18" s="9">
        <v>32</v>
      </c>
      <c r="E18" s="117">
        <v>140</v>
      </c>
      <c r="F18" s="117">
        <v>80</v>
      </c>
      <c r="G18" s="117">
        <v>10</v>
      </c>
      <c r="H18" s="9">
        <v>32</v>
      </c>
      <c r="I18" s="9">
        <v>0</v>
      </c>
      <c r="J18" s="9">
        <f t="shared" si="6"/>
        <v>0</v>
      </c>
      <c r="K18" s="9">
        <f t="shared" si="7"/>
        <v>-48</v>
      </c>
      <c r="L18" s="9">
        <f t="shared" si="8"/>
        <v>-108</v>
      </c>
      <c r="M18" s="9">
        <f t="shared" si="11"/>
        <v>-10</v>
      </c>
      <c r="N18" s="43">
        <f t="shared" si="1"/>
        <v>1</v>
      </c>
      <c r="O18" s="43">
        <f t="shared" si="2"/>
        <v>0.4</v>
      </c>
      <c r="P18" s="43">
        <f t="shared" si="3"/>
        <v>0.22857142857142856</v>
      </c>
      <c r="Q18" s="80">
        <f t="shared" si="4"/>
        <v>0</v>
      </c>
      <c r="R18" s="80">
        <f t="shared" si="5"/>
        <v>0</v>
      </c>
      <c r="S18" s="12">
        <v>32</v>
      </c>
      <c r="T18" s="12"/>
      <c r="U18" s="12"/>
      <c r="V18" s="6">
        <f t="shared" si="9"/>
        <v>32</v>
      </c>
      <c r="W18" s="6">
        <f t="shared" si="10"/>
        <v>0</v>
      </c>
      <c r="X18" s="2"/>
      <c r="AC18" s="75"/>
    </row>
    <row r="19" spans="1:29" ht="19.5" customHeight="1">
      <c r="A19" s="72" t="s">
        <v>22</v>
      </c>
      <c r="B19" s="71" t="s">
        <v>23</v>
      </c>
      <c r="C19" s="8" t="s">
        <v>100</v>
      </c>
      <c r="D19" s="9">
        <v>130.2</v>
      </c>
      <c r="E19" s="117"/>
      <c r="F19" s="117"/>
      <c r="G19" s="117"/>
      <c r="H19" s="9">
        <v>60.8</v>
      </c>
      <c r="I19" s="9">
        <v>5.6</v>
      </c>
      <c r="J19" s="9">
        <f t="shared" si="6"/>
        <v>-69.39999999999999</v>
      </c>
      <c r="K19" s="9">
        <f t="shared" si="7"/>
        <v>60.8</v>
      </c>
      <c r="L19" s="9">
        <f t="shared" si="8"/>
        <v>60.8</v>
      </c>
      <c r="M19" s="9">
        <f t="shared" si="11"/>
        <v>5.6</v>
      </c>
      <c r="N19" s="43">
        <f t="shared" si="1"/>
        <v>0.46697388632872505</v>
      </c>
      <c r="O19" s="43">
        <f t="shared" si="2"/>
      </c>
      <c r="P19" s="43">
        <f t="shared" si="3"/>
      </c>
      <c r="Q19" s="80">
        <f t="shared" si="4"/>
        <v>0</v>
      </c>
      <c r="R19" s="80">
        <f t="shared" si="5"/>
        <v>0</v>
      </c>
      <c r="S19" s="12">
        <v>60.8</v>
      </c>
      <c r="T19" s="12">
        <v>5.6</v>
      </c>
      <c r="U19" s="12"/>
      <c r="V19" s="6">
        <f t="shared" si="9"/>
        <v>60.8</v>
      </c>
      <c r="W19" s="6">
        <f t="shared" si="10"/>
        <v>5.6</v>
      </c>
      <c r="X19" s="2"/>
      <c r="AC19" s="75"/>
    </row>
    <row r="20" spans="1:29" ht="31.5">
      <c r="A20" s="73" t="s">
        <v>26</v>
      </c>
      <c r="B20" s="74" t="s">
        <v>79</v>
      </c>
      <c r="C20" s="8" t="s">
        <v>27</v>
      </c>
      <c r="D20" s="9">
        <v>489.6</v>
      </c>
      <c r="E20" s="117">
        <v>969.6</v>
      </c>
      <c r="F20" s="117">
        <v>572</v>
      </c>
      <c r="G20" s="117">
        <v>70</v>
      </c>
      <c r="H20" s="9">
        <v>-2.48</v>
      </c>
      <c r="I20" s="9">
        <v>0</v>
      </c>
      <c r="J20" s="9">
        <f t="shared" si="6"/>
        <v>-492.08000000000004</v>
      </c>
      <c r="K20" s="9">
        <f t="shared" si="7"/>
        <v>-574.48</v>
      </c>
      <c r="L20" s="9">
        <f t="shared" si="8"/>
        <v>-972.08</v>
      </c>
      <c r="M20" s="9">
        <f t="shared" si="11"/>
        <v>-70</v>
      </c>
      <c r="N20" s="43">
        <f t="shared" si="1"/>
        <v>-0.005065359477124182</v>
      </c>
      <c r="O20" s="43">
        <f t="shared" si="2"/>
        <v>-0.004335664335664335</v>
      </c>
      <c r="P20" s="43">
        <f t="shared" si="3"/>
        <v>-0.0025577557755775576</v>
      </c>
      <c r="Q20" s="80">
        <f t="shared" si="4"/>
        <v>0</v>
      </c>
      <c r="R20" s="80">
        <f t="shared" si="5"/>
        <v>0</v>
      </c>
      <c r="S20" s="12">
        <v>-2.48</v>
      </c>
      <c r="T20" s="12"/>
      <c r="U20" s="12"/>
      <c r="V20" s="6">
        <f t="shared" si="9"/>
        <v>-2.48</v>
      </c>
      <c r="W20" s="6">
        <f t="shared" si="10"/>
        <v>0</v>
      </c>
      <c r="X20" s="2"/>
      <c r="AC20" s="75"/>
    </row>
    <row r="21" spans="1:29" ht="15.75">
      <c r="A21" s="72" t="s">
        <v>25</v>
      </c>
      <c r="B21" s="71" t="s">
        <v>12</v>
      </c>
      <c r="C21" s="8" t="s">
        <v>81</v>
      </c>
      <c r="D21" s="9">
        <v>35</v>
      </c>
      <c r="E21" s="117">
        <v>120</v>
      </c>
      <c r="F21" s="117">
        <v>55</v>
      </c>
      <c r="G21" s="117">
        <v>15</v>
      </c>
      <c r="H21" s="9">
        <v>75</v>
      </c>
      <c r="I21" s="9">
        <v>20</v>
      </c>
      <c r="J21" s="9">
        <f t="shared" si="6"/>
        <v>40</v>
      </c>
      <c r="K21" s="9">
        <f t="shared" si="7"/>
        <v>20</v>
      </c>
      <c r="L21" s="9">
        <f t="shared" si="8"/>
        <v>-45</v>
      </c>
      <c r="M21" s="9">
        <f t="shared" si="11"/>
        <v>5</v>
      </c>
      <c r="N21" s="43">
        <f t="shared" si="1"/>
        <v>2.142857142857143</v>
      </c>
      <c r="O21" s="43">
        <f t="shared" si="2"/>
        <v>1.3636363636363635</v>
      </c>
      <c r="P21" s="43">
        <f t="shared" si="3"/>
        <v>0.625</v>
      </c>
      <c r="Q21" s="80">
        <f t="shared" si="4"/>
        <v>0</v>
      </c>
      <c r="R21" s="80">
        <f t="shared" si="5"/>
        <v>0</v>
      </c>
      <c r="S21" s="12">
        <v>75</v>
      </c>
      <c r="T21" s="12">
        <v>20</v>
      </c>
      <c r="U21" s="12"/>
      <c r="V21" s="6">
        <f t="shared" si="9"/>
        <v>75</v>
      </c>
      <c r="W21" s="6">
        <f t="shared" si="10"/>
        <v>20</v>
      </c>
      <c r="X21" s="2"/>
      <c r="AC21" s="75"/>
    </row>
    <row r="22" spans="1:29" ht="27.75" customHeight="1">
      <c r="A22" s="161"/>
      <c r="B22" s="161"/>
      <c r="C22" s="50" t="s">
        <v>28</v>
      </c>
      <c r="D22" s="95">
        <f aca="true" t="shared" si="13" ref="D22:I22">D26+D29+D37+D48+D50+D56+D60+D62+D73</f>
        <v>2859237.15</v>
      </c>
      <c r="E22" s="120">
        <f t="shared" si="13"/>
        <v>6567862.88</v>
      </c>
      <c r="F22" s="120">
        <f>F26+F29+F37+F48+F50+F56+F60+F62+F73</f>
        <v>3577608.11</v>
      </c>
      <c r="G22" s="120">
        <f t="shared" si="13"/>
        <v>471004.5</v>
      </c>
      <c r="H22" s="120">
        <f t="shared" si="13"/>
        <v>3599803.269999999</v>
      </c>
      <c r="I22" s="120">
        <f t="shared" si="13"/>
        <v>143830.57</v>
      </c>
      <c r="J22" s="47">
        <f t="shared" si="6"/>
        <v>740566.1199999992</v>
      </c>
      <c r="K22" s="47">
        <f t="shared" si="7"/>
        <v>22195.159999999218</v>
      </c>
      <c r="L22" s="47">
        <f t="shared" si="8"/>
        <v>-2968059.610000001</v>
      </c>
      <c r="M22" s="47">
        <f t="shared" si="11"/>
        <v>-327173.93</v>
      </c>
      <c r="N22" s="48">
        <f t="shared" si="1"/>
        <v>1.2590082882771718</v>
      </c>
      <c r="O22" s="48">
        <f t="shared" si="2"/>
        <v>1.0062039103550666</v>
      </c>
      <c r="P22" s="48">
        <f t="shared" si="3"/>
        <v>0.5480935482014812</v>
      </c>
      <c r="Q22" s="80">
        <f t="shared" si="4"/>
        <v>-2.790000000037253</v>
      </c>
      <c r="R22" s="80">
        <f t="shared" si="5"/>
        <v>-2.790000000008149</v>
      </c>
      <c r="S22" s="41">
        <f>S26+S29+S37+S48+S50+S56+S60+S62+S73</f>
        <v>3569221.239999999</v>
      </c>
      <c r="T22" s="41">
        <f>T26+T29+T37+T48+T50+T56+T60+T62+T73</f>
        <v>113248.54000000001</v>
      </c>
      <c r="U22" s="41">
        <f>U26+U29+U37+U48+U50+U56+U60+U62+U73</f>
        <v>30579.239999999998</v>
      </c>
      <c r="V22" s="41">
        <f>S22+U22</f>
        <v>3599800.479999999</v>
      </c>
      <c r="W22" s="41">
        <f>T22+U22</f>
        <v>143827.78</v>
      </c>
      <c r="X22" s="49"/>
      <c r="AB22" s="11"/>
      <c r="AC22" s="75"/>
    </row>
    <row r="23" spans="1:24" ht="15.75">
      <c r="A23" s="155" t="s">
        <v>26</v>
      </c>
      <c r="B23" s="158" t="s">
        <v>79</v>
      </c>
      <c r="C23" s="13" t="s">
        <v>102</v>
      </c>
      <c r="D23" s="9">
        <v>57232.48</v>
      </c>
      <c r="E23" s="117">
        <f>135475.5+25225.6</f>
        <v>160701.1</v>
      </c>
      <c r="F23" s="117">
        <v>87650</v>
      </c>
      <c r="G23" s="117">
        <v>13600</v>
      </c>
      <c r="H23" s="9">
        <v>81741.31</v>
      </c>
      <c r="I23" s="9">
        <v>3306.26</v>
      </c>
      <c r="J23" s="14">
        <f t="shared" si="6"/>
        <v>24508.829999999994</v>
      </c>
      <c r="K23" s="14">
        <f t="shared" si="7"/>
        <v>-5908.690000000002</v>
      </c>
      <c r="L23" s="14">
        <f t="shared" si="8"/>
        <v>-78959.79000000001</v>
      </c>
      <c r="M23" s="14">
        <f t="shared" si="11"/>
        <v>-10293.74</v>
      </c>
      <c r="N23" s="44">
        <f t="shared" si="1"/>
        <v>1.4282328845438812</v>
      </c>
      <c r="O23" s="44">
        <f t="shared" si="2"/>
        <v>0.93258767826583</v>
      </c>
      <c r="P23" s="44">
        <f t="shared" si="3"/>
        <v>0.5086543278172956</v>
      </c>
      <c r="Q23" s="80">
        <f t="shared" si="4"/>
        <v>0</v>
      </c>
      <c r="R23" s="80">
        <f t="shared" si="5"/>
        <v>0</v>
      </c>
      <c r="S23" s="12">
        <v>81132.11</v>
      </c>
      <c r="T23" s="12">
        <v>2697.06</v>
      </c>
      <c r="U23" s="12">
        <v>609.2</v>
      </c>
      <c r="V23" s="12">
        <f>S23+U23</f>
        <v>81741.31</v>
      </c>
      <c r="W23" s="12">
        <f>T23+U23</f>
        <v>3306.26</v>
      </c>
      <c r="X23" s="15"/>
    </row>
    <row r="24" spans="1:24" ht="15.75">
      <c r="A24" s="156"/>
      <c r="B24" s="159"/>
      <c r="C24" s="13" t="s">
        <v>29</v>
      </c>
      <c r="D24" s="5">
        <v>3971.23</v>
      </c>
      <c r="E24" s="117">
        <v>39519.1</v>
      </c>
      <c r="F24" s="117">
        <v>39519.1</v>
      </c>
      <c r="G24" s="117">
        <v>0</v>
      </c>
      <c r="H24" s="9">
        <v>39519.14</v>
      </c>
      <c r="I24" s="9">
        <v>0</v>
      </c>
      <c r="J24" s="9">
        <f t="shared" si="6"/>
        <v>35547.909999999996</v>
      </c>
      <c r="K24" s="9">
        <f t="shared" si="7"/>
        <v>0.040000000000873115</v>
      </c>
      <c r="L24" s="9">
        <f t="shared" si="8"/>
        <v>0.040000000000873115</v>
      </c>
      <c r="M24" s="9">
        <f t="shared" si="11"/>
        <v>0</v>
      </c>
      <c r="N24" s="44">
        <f t="shared" si="1"/>
        <v>9.951360157935953</v>
      </c>
      <c r="O24" s="44">
        <f t="shared" si="2"/>
        <v>1.0000010121687994</v>
      </c>
      <c r="P24" s="44">
        <f t="shared" si="3"/>
        <v>1.0000010121687994</v>
      </c>
      <c r="Q24" s="80">
        <f t="shared" si="4"/>
        <v>0</v>
      </c>
      <c r="R24" s="80">
        <f t="shared" si="5"/>
        <v>0</v>
      </c>
      <c r="S24" s="10">
        <v>39519.14</v>
      </c>
      <c r="T24" s="10"/>
      <c r="U24" s="10"/>
      <c r="V24" s="12">
        <f aca="true" t="shared" si="14" ref="V24:V73">S24+U24</f>
        <v>39519.14</v>
      </c>
      <c r="W24" s="12">
        <f aca="true" t="shared" si="15" ref="W24:W73">T24+U24</f>
        <v>0</v>
      </c>
      <c r="X24" s="15"/>
    </row>
    <row r="25" spans="1:24" ht="15.75">
      <c r="A25" s="156"/>
      <c r="B25" s="159"/>
      <c r="C25" s="13" t="s">
        <v>52</v>
      </c>
      <c r="D25" s="5">
        <v>41310.469999999994</v>
      </c>
      <c r="E25" s="117">
        <f>110819.4+14383.9-8662.9</f>
        <v>116540.4</v>
      </c>
      <c r="F25" s="117">
        <v>57150</v>
      </c>
      <c r="G25" s="117">
        <v>9000</v>
      </c>
      <c r="H25" s="9">
        <v>58700.93</v>
      </c>
      <c r="I25" s="9">
        <v>1899.44</v>
      </c>
      <c r="J25" s="14">
        <f t="shared" si="6"/>
        <v>17390.460000000006</v>
      </c>
      <c r="K25" s="14">
        <f t="shared" si="7"/>
        <v>1550.9300000000003</v>
      </c>
      <c r="L25" s="14">
        <f t="shared" si="8"/>
        <v>-57839.469999999994</v>
      </c>
      <c r="M25" s="14">
        <f t="shared" si="11"/>
        <v>-7100.5599999999995</v>
      </c>
      <c r="N25" s="44">
        <f t="shared" si="1"/>
        <v>1.4209697928878564</v>
      </c>
      <c r="O25" s="44">
        <f t="shared" si="2"/>
        <v>1.0271378827646545</v>
      </c>
      <c r="P25" s="44">
        <f t="shared" si="3"/>
        <v>0.5036959715257542</v>
      </c>
      <c r="Q25" s="80">
        <f t="shared" si="4"/>
        <v>0</v>
      </c>
      <c r="R25" s="80">
        <f t="shared" si="5"/>
        <v>0</v>
      </c>
      <c r="S25" s="6">
        <v>58381.2</v>
      </c>
      <c r="T25" s="6">
        <v>1579.71</v>
      </c>
      <c r="U25" s="6">
        <v>319.73</v>
      </c>
      <c r="V25" s="12">
        <f t="shared" si="14"/>
        <v>58700.93</v>
      </c>
      <c r="W25" s="12">
        <f t="shared" si="15"/>
        <v>1899.44</v>
      </c>
      <c r="X25" s="15"/>
    </row>
    <row r="26" spans="1:24" ht="15.75">
      <c r="A26" s="157"/>
      <c r="B26" s="160"/>
      <c r="C26" s="54" t="s">
        <v>10</v>
      </c>
      <c r="D26" s="35">
        <f aca="true" t="shared" si="16" ref="D26:I26">SUM(D23:D25)</f>
        <v>102514.18</v>
      </c>
      <c r="E26" s="119">
        <f t="shared" si="16"/>
        <v>316760.6</v>
      </c>
      <c r="F26" s="119">
        <f t="shared" si="16"/>
        <v>184319.1</v>
      </c>
      <c r="G26" s="119">
        <f t="shared" si="16"/>
        <v>22600</v>
      </c>
      <c r="H26" s="119">
        <f>SUM(H23:H25)</f>
        <v>179961.38</v>
      </c>
      <c r="I26" s="119">
        <f t="shared" si="16"/>
        <v>5205.700000000001</v>
      </c>
      <c r="J26" s="35">
        <f t="shared" si="6"/>
        <v>77447.20000000001</v>
      </c>
      <c r="K26" s="35">
        <f t="shared" si="7"/>
        <v>-4357.720000000001</v>
      </c>
      <c r="L26" s="35">
        <f t="shared" si="8"/>
        <v>-136799.21999999997</v>
      </c>
      <c r="M26" s="35">
        <f t="shared" si="11"/>
        <v>-17394.3</v>
      </c>
      <c r="N26" s="57">
        <f t="shared" si="1"/>
        <v>1.7554779251026542</v>
      </c>
      <c r="O26" s="57">
        <f t="shared" si="2"/>
        <v>0.9763577404620574</v>
      </c>
      <c r="P26" s="57">
        <f t="shared" si="3"/>
        <v>0.5681305692690316</v>
      </c>
      <c r="Q26" s="81">
        <f t="shared" si="4"/>
        <v>0</v>
      </c>
      <c r="R26" s="81">
        <f t="shared" si="5"/>
        <v>0</v>
      </c>
      <c r="S26" s="56">
        <f>SUM(S23:S25)</f>
        <v>179032.45</v>
      </c>
      <c r="T26" s="56">
        <f>SUM(T23:T25)</f>
        <v>4276.77</v>
      </c>
      <c r="U26" s="56">
        <f>SUM(U23:U25)</f>
        <v>928.9300000000001</v>
      </c>
      <c r="V26" s="12">
        <f t="shared" si="14"/>
        <v>179961.38</v>
      </c>
      <c r="W26" s="12">
        <f t="shared" si="15"/>
        <v>5205.700000000001</v>
      </c>
      <c r="X26" s="7"/>
    </row>
    <row r="27" spans="1:24" ht="15.75">
      <c r="A27" s="148">
        <v>951</v>
      </c>
      <c r="B27" s="148" t="s">
        <v>12</v>
      </c>
      <c r="C27" s="16" t="s">
        <v>30</v>
      </c>
      <c r="D27" s="9">
        <v>43652.65</v>
      </c>
      <c r="E27" s="117">
        <v>91712.1</v>
      </c>
      <c r="F27" s="117">
        <v>47723</v>
      </c>
      <c r="G27" s="117">
        <v>5900</v>
      </c>
      <c r="H27" s="9">
        <v>50799.42</v>
      </c>
      <c r="I27" s="9">
        <v>46.44</v>
      </c>
      <c r="J27" s="9">
        <f t="shared" si="6"/>
        <v>7146.769999999997</v>
      </c>
      <c r="K27" s="9">
        <f t="shared" si="7"/>
        <v>3076.4199999999983</v>
      </c>
      <c r="L27" s="9">
        <f t="shared" si="8"/>
        <v>-40912.68000000001</v>
      </c>
      <c r="M27" s="9">
        <f t="shared" si="11"/>
        <v>-5853.56</v>
      </c>
      <c r="N27" s="44">
        <f t="shared" si="1"/>
        <v>1.1637190411120515</v>
      </c>
      <c r="O27" s="44">
        <f t="shared" si="2"/>
        <v>1.064464094880875</v>
      </c>
      <c r="P27" s="44">
        <f t="shared" si="3"/>
        <v>0.5539009574527243</v>
      </c>
      <c r="Q27" s="80">
        <f t="shared" si="4"/>
        <v>0</v>
      </c>
      <c r="R27" s="80">
        <f t="shared" si="5"/>
        <v>0</v>
      </c>
      <c r="S27" s="12">
        <v>50799.42</v>
      </c>
      <c r="T27" s="12">
        <v>46.44</v>
      </c>
      <c r="U27" s="12"/>
      <c r="V27" s="12">
        <f t="shared" si="14"/>
        <v>50799.42</v>
      </c>
      <c r="W27" s="12">
        <f t="shared" si="15"/>
        <v>46.44</v>
      </c>
      <c r="X27" s="2"/>
    </row>
    <row r="28" spans="1:24" ht="15.75">
      <c r="A28" s="148"/>
      <c r="B28" s="148"/>
      <c r="C28" s="13" t="s">
        <v>31</v>
      </c>
      <c r="D28" s="9">
        <v>4545.95</v>
      </c>
      <c r="E28" s="117">
        <v>14224.9</v>
      </c>
      <c r="F28" s="117">
        <v>4466.6</v>
      </c>
      <c r="G28" s="117">
        <v>1557</v>
      </c>
      <c r="H28" s="9">
        <v>4681.15</v>
      </c>
      <c r="I28" s="9">
        <v>7.25</v>
      </c>
      <c r="J28" s="9">
        <f t="shared" si="6"/>
        <v>135.19999999999982</v>
      </c>
      <c r="K28" s="9">
        <f t="shared" si="7"/>
        <v>214.54999999999927</v>
      </c>
      <c r="L28" s="9">
        <f t="shared" si="8"/>
        <v>-9543.75</v>
      </c>
      <c r="M28" s="9">
        <f t="shared" si="11"/>
        <v>-1549.75</v>
      </c>
      <c r="N28" s="44">
        <f t="shared" si="1"/>
        <v>1.02974075825735</v>
      </c>
      <c r="O28" s="44">
        <f t="shared" si="2"/>
        <v>1.0480342990193883</v>
      </c>
      <c r="P28" s="44">
        <f t="shared" si="3"/>
        <v>0.329081399517747</v>
      </c>
      <c r="Q28" s="80">
        <f t="shared" si="4"/>
        <v>0</v>
      </c>
      <c r="R28" s="80">
        <f t="shared" si="5"/>
        <v>0</v>
      </c>
      <c r="S28" s="12">
        <v>4681.15</v>
      </c>
      <c r="T28" s="12">
        <v>7.25</v>
      </c>
      <c r="U28" s="12"/>
      <c r="V28" s="12">
        <f t="shared" si="14"/>
        <v>4681.15</v>
      </c>
      <c r="W28" s="12">
        <f t="shared" si="15"/>
        <v>7.25</v>
      </c>
      <c r="X28" s="2"/>
    </row>
    <row r="29" spans="1:24" ht="15.75">
      <c r="A29" s="148"/>
      <c r="B29" s="148"/>
      <c r="C29" s="58" t="s">
        <v>10</v>
      </c>
      <c r="D29" s="35">
        <f aca="true" t="shared" si="17" ref="D29:I29">D27+D28</f>
        <v>48198.6</v>
      </c>
      <c r="E29" s="119">
        <f t="shared" si="17"/>
        <v>105937</v>
      </c>
      <c r="F29" s="119">
        <f t="shared" si="17"/>
        <v>52189.6</v>
      </c>
      <c r="G29" s="119">
        <f t="shared" si="17"/>
        <v>7457</v>
      </c>
      <c r="H29" s="119">
        <f t="shared" si="17"/>
        <v>55480.57</v>
      </c>
      <c r="I29" s="119">
        <f t="shared" si="17"/>
        <v>53.69</v>
      </c>
      <c r="J29" s="35">
        <f t="shared" si="6"/>
        <v>7281.970000000001</v>
      </c>
      <c r="K29" s="35">
        <f t="shared" si="7"/>
        <v>3290.970000000001</v>
      </c>
      <c r="L29" s="35">
        <f t="shared" si="8"/>
        <v>-50456.43</v>
      </c>
      <c r="M29" s="35">
        <f t="shared" si="11"/>
        <v>-7403.31</v>
      </c>
      <c r="N29" s="57">
        <f t="shared" si="1"/>
        <v>1.1510826040590392</v>
      </c>
      <c r="O29" s="57">
        <f t="shared" si="2"/>
        <v>1.0630579655716847</v>
      </c>
      <c r="P29" s="57">
        <f t="shared" si="3"/>
        <v>0.5237128670813785</v>
      </c>
      <c r="Q29" s="81">
        <f t="shared" si="4"/>
        <v>0</v>
      </c>
      <c r="R29" s="81">
        <f t="shared" si="5"/>
        <v>0</v>
      </c>
      <c r="S29" s="56">
        <f>S27+S28</f>
        <v>55480.57</v>
      </c>
      <c r="T29" s="56">
        <f>T27+T28</f>
        <v>53.69</v>
      </c>
      <c r="U29" s="56">
        <f>U27+U28</f>
        <v>0</v>
      </c>
      <c r="V29" s="12">
        <f t="shared" si="14"/>
        <v>55480.57</v>
      </c>
      <c r="W29" s="12">
        <f t="shared" si="15"/>
        <v>53.69</v>
      </c>
      <c r="X29" s="7"/>
    </row>
    <row r="30" spans="1:24" ht="15.75">
      <c r="A30" s="162" t="s">
        <v>32</v>
      </c>
      <c r="B30" s="148" t="s">
        <v>33</v>
      </c>
      <c r="C30" s="13" t="s">
        <v>34</v>
      </c>
      <c r="D30" s="5">
        <v>1336</v>
      </c>
      <c r="E30" s="93">
        <v>496</v>
      </c>
      <c r="F30" s="93">
        <f>G30</f>
        <v>0</v>
      </c>
      <c r="G30" s="93">
        <v>0</v>
      </c>
      <c r="H30" s="105">
        <v>3566.51</v>
      </c>
      <c r="I30" s="105">
        <v>0</v>
      </c>
      <c r="J30" s="5">
        <f t="shared" si="6"/>
        <v>2230.51</v>
      </c>
      <c r="K30" s="5">
        <f t="shared" si="7"/>
        <v>3566.51</v>
      </c>
      <c r="L30" s="5">
        <f t="shared" si="8"/>
        <v>3070.51</v>
      </c>
      <c r="M30" s="5">
        <f t="shared" si="11"/>
        <v>0</v>
      </c>
      <c r="N30" s="44">
        <f t="shared" si="1"/>
        <v>2.669543413173653</v>
      </c>
      <c r="O30" s="44">
        <f t="shared" si="2"/>
      </c>
      <c r="P30" s="44">
        <f t="shared" si="3"/>
        <v>7.1905443548387105</v>
      </c>
      <c r="Q30" s="80">
        <f t="shared" si="4"/>
        <v>0</v>
      </c>
      <c r="R30" s="80">
        <f t="shared" si="5"/>
        <v>0</v>
      </c>
      <c r="S30" s="6">
        <v>3566.51</v>
      </c>
      <c r="T30" s="6">
        <v>0</v>
      </c>
      <c r="U30" s="6"/>
      <c r="V30" s="12">
        <f t="shared" si="14"/>
        <v>3566.51</v>
      </c>
      <c r="W30" s="12">
        <f t="shared" si="15"/>
        <v>0</v>
      </c>
      <c r="X30" s="2"/>
    </row>
    <row r="31" spans="1:24" ht="15.75">
      <c r="A31" s="162"/>
      <c r="B31" s="148"/>
      <c r="C31" s="17" t="s">
        <v>35</v>
      </c>
      <c r="D31" s="5">
        <v>36040.52</v>
      </c>
      <c r="E31" s="93">
        <v>100081.7</v>
      </c>
      <c r="F31" s="93">
        <v>54500</v>
      </c>
      <c r="G31" s="93">
        <v>7500</v>
      </c>
      <c r="H31" s="9">
        <v>44158.67</v>
      </c>
      <c r="I31" s="9">
        <v>511.64000000000004</v>
      </c>
      <c r="J31" s="5">
        <f t="shared" si="6"/>
        <v>8118.1500000000015</v>
      </c>
      <c r="K31" s="5">
        <f t="shared" si="7"/>
        <v>-10341.330000000002</v>
      </c>
      <c r="L31" s="5">
        <f t="shared" si="8"/>
        <v>-55923.03</v>
      </c>
      <c r="M31" s="5">
        <f t="shared" si="11"/>
        <v>-6988.36</v>
      </c>
      <c r="N31" s="44">
        <f t="shared" si="1"/>
        <v>1.2252506345635412</v>
      </c>
      <c r="O31" s="44">
        <f t="shared" si="2"/>
        <v>0.8102508256880734</v>
      </c>
      <c r="P31" s="44">
        <f t="shared" si="3"/>
        <v>0.44122621817974716</v>
      </c>
      <c r="Q31" s="80">
        <f t="shared" si="4"/>
        <v>0</v>
      </c>
      <c r="R31" s="80">
        <f t="shared" si="5"/>
        <v>0</v>
      </c>
      <c r="S31" s="6">
        <v>44119.82</v>
      </c>
      <c r="T31" s="6">
        <v>472.79</v>
      </c>
      <c r="U31" s="6">
        <v>38.85</v>
      </c>
      <c r="V31" s="12">
        <f t="shared" si="14"/>
        <v>44158.67</v>
      </c>
      <c r="W31" s="12">
        <f t="shared" si="15"/>
        <v>511.64000000000004</v>
      </c>
      <c r="X31" s="2"/>
    </row>
    <row r="32" spans="1:24" ht="15.75">
      <c r="A32" s="162"/>
      <c r="B32" s="148"/>
      <c r="C32" s="16" t="s">
        <v>36</v>
      </c>
      <c r="D32" s="5">
        <v>1283.42</v>
      </c>
      <c r="E32" s="93">
        <v>557</v>
      </c>
      <c r="F32" s="93">
        <v>324.9</v>
      </c>
      <c r="G32" s="93">
        <v>46.4</v>
      </c>
      <c r="H32" s="9">
        <v>4828.47</v>
      </c>
      <c r="I32" s="9">
        <v>472.85</v>
      </c>
      <c r="J32" s="5">
        <f t="shared" si="6"/>
        <v>3545.05</v>
      </c>
      <c r="K32" s="5">
        <f t="shared" si="7"/>
        <v>4503.570000000001</v>
      </c>
      <c r="L32" s="5">
        <f t="shared" si="8"/>
        <v>4271.47</v>
      </c>
      <c r="M32" s="5">
        <f t="shared" si="11"/>
        <v>426.45000000000005</v>
      </c>
      <c r="N32" s="44">
        <f t="shared" si="1"/>
        <v>3.762190085864331</v>
      </c>
      <c r="O32" s="44">
        <f t="shared" si="2"/>
        <v>14.861403508771932</v>
      </c>
      <c r="P32" s="44">
        <f t="shared" si="3"/>
        <v>8.66870736086176</v>
      </c>
      <c r="Q32" s="80">
        <f t="shared" si="4"/>
        <v>0</v>
      </c>
      <c r="R32" s="80">
        <f t="shared" si="5"/>
        <v>0</v>
      </c>
      <c r="S32" s="6">
        <v>4828.47</v>
      </c>
      <c r="T32" s="6">
        <v>472.85</v>
      </c>
      <c r="U32" s="6"/>
      <c r="V32" s="12">
        <f t="shared" si="14"/>
        <v>4828.47</v>
      </c>
      <c r="W32" s="12">
        <f t="shared" si="15"/>
        <v>472.85</v>
      </c>
      <c r="X32" s="2"/>
    </row>
    <row r="33" spans="1:24" ht="15.75">
      <c r="A33" s="162"/>
      <c r="B33" s="148"/>
      <c r="C33" s="16" t="s">
        <v>37</v>
      </c>
      <c r="D33" s="9">
        <f>D34+D36+D35</f>
        <v>31897.899999999998</v>
      </c>
      <c r="E33" s="117">
        <f>E34+E36+E35</f>
        <v>200264</v>
      </c>
      <c r="F33" s="117">
        <f>F34+F36+F35</f>
        <v>160521.9</v>
      </c>
      <c r="G33" s="117">
        <f>G34+G36+G35</f>
        <v>5437.5</v>
      </c>
      <c r="H33" s="117">
        <v>157012.55</v>
      </c>
      <c r="I33" s="117">
        <v>1207.8</v>
      </c>
      <c r="J33" s="18">
        <f t="shared" si="6"/>
        <v>125114.65</v>
      </c>
      <c r="K33" s="18">
        <f t="shared" si="7"/>
        <v>-3509.350000000006</v>
      </c>
      <c r="L33" s="18">
        <f t="shared" si="8"/>
        <v>-43251.45000000001</v>
      </c>
      <c r="M33" s="18">
        <f t="shared" si="11"/>
        <v>-4229.7</v>
      </c>
      <c r="N33" s="44">
        <f t="shared" si="1"/>
        <v>4.922347552660207</v>
      </c>
      <c r="O33" s="44">
        <f t="shared" si="2"/>
        <v>0.9781378740221739</v>
      </c>
      <c r="P33" s="44">
        <f t="shared" si="3"/>
        <v>0.7840278332600966</v>
      </c>
      <c r="Q33" s="80">
        <f t="shared" si="4"/>
        <v>0</v>
      </c>
      <c r="R33" s="80">
        <f t="shared" si="5"/>
        <v>0</v>
      </c>
      <c r="S33" s="11">
        <f>S34+S35+S36</f>
        <v>157012.53999999998</v>
      </c>
      <c r="T33" s="11">
        <f>T34+T35+T36</f>
        <v>1207.79</v>
      </c>
      <c r="U33" s="11">
        <f>U34+U35+U36</f>
        <v>0.01</v>
      </c>
      <c r="V33" s="12">
        <f t="shared" si="14"/>
        <v>157012.55</v>
      </c>
      <c r="W33" s="12">
        <f t="shared" si="15"/>
        <v>1207.8</v>
      </c>
      <c r="X33" s="2"/>
    </row>
    <row r="34" spans="1:24" ht="15.75">
      <c r="A34" s="162"/>
      <c r="B34" s="148"/>
      <c r="C34" s="19" t="s">
        <v>38</v>
      </c>
      <c r="D34" s="20">
        <v>13680.88</v>
      </c>
      <c r="E34" s="121">
        <f>48594.6+85630.3+29092.9</f>
        <v>163317.8</v>
      </c>
      <c r="F34" s="121">
        <v>140250.80000000002</v>
      </c>
      <c r="G34" s="121">
        <v>2893.1</v>
      </c>
      <c r="H34" s="108">
        <v>134816.61</v>
      </c>
      <c r="I34" s="108">
        <v>420</v>
      </c>
      <c r="J34" s="20">
        <f t="shared" si="6"/>
        <v>121135.72999999998</v>
      </c>
      <c r="K34" s="20">
        <f t="shared" si="7"/>
        <v>-5434.190000000031</v>
      </c>
      <c r="L34" s="20">
        <f t="shared" si="8"/>
        <v>-28501.190000000002</v>
      </c>
      <c r="M34" s="20">
        <f t="shared" si="11"/>
        <v>-2473.1</v>
      </c>
      <c r="N34" s="44">
        <f t="shared" si="1"/>
        <v>9.85438144329897</v>
      </c>
      <c r="O34" s="44">
        <f t="shared" si="2"/>
        <v>0.9612537682494501</v>
      </c>
      <c r="P34" s="44">
        <f t="shared" si="3"/>
        <v>0.8254863217603959</v>
      </c>
      <c r="Q34" s="80">
        <f t="shared" si="4"/>
        <v>0</v>
      </c>
      <c r="R34" s="80">
        <f t="shared" si="5"/>
        <v>0</v>
      </c>
      <c r="S34" s="21">
        <v>134816.61</v>
      </c>
      <c r="T34" s="21">
        <v>420</v>
      </c>
      <c r="U34" s="21"/>
      <c r="V34" s="12">
        <f t="shared" si="14"/>
        <v>134816.61</v>
      </c>
      <c r="W34" s="12">
        <f t="shared" si="15"/>
        <v>420</v>
      </c>
      <c r="X34" s="7"/>
    </row>
    <row r="35" spans="1:24" ht="15.75">
      <c r="A35" s="162"/>
      <c r="B35" s="148"/>
      <c r="C35" s="19" t="s">
        <v>39</v>
      </c>
      <c r="D35" s="20">
        <v>1307.34</v>
      </c>
      <c r="E35" s="136">
        <v>1867.8</v>
      </c>
      <c r="F35" s="136">
        <v>160.3</v>
      </c>
      <c r="G35" s="136">
        <v>0</v>
      </c>
      <c r="H35" s="108">
        <v>918.33</v>
      </c>
      <c r="I35" s="108">
        <v>0</v>
      </c>
      <c r="J35" s="20">
        <f t="shared" si="6"/>
        <v>-389.0099999999999</v>
      </c>
      <c r="K35" s="20">
        <f t="shared" si="7"/>
        <v>758.03</v>
      </c>
      <c r="L35" s="20">
        <f t="shared" si="8"/>
        <v>-949.4699999999999</v>
      </c>
      <c r="M35" s="20">
        <f t="shared" si="11"/>
        <v>0</v>
      </c>
      <c r="N35" s="44">
        <f t="shared" si="1"/>
        <v>0.7024415989719583</v>
      </c>
      <c r="O35" s="44">
        <f t="shared" si="2"/>
        <v>5.72882096069869</v>
      </c>
      <c r="P35" s="44">
        <f t="shared" si="3"/>
        <v>0.4916639897205269</v>
      </c>
      <c r="Q35" s="80">
        <f t="shared" si="4"/>
        <v>0</v>
      </c>
      <c r="R35" s="80">
        <f t="shared" si="5"/>
        <v>0</v>
      </c>
      <c r="S35" s="21">
        <v>918.33</v>
      </c>
      <c r="T35" s="21"/>
      <c r="U35" s="21"/>
      <c r="V35" s="12">
        <f t="shared" si="14"/>
        <v>918.33</v>
      </c>
      <c r="W35" s="12">
        <f t="shared" si="15"/>
        <v>0</v>
      </c>
      <c r="X35" s="7"/>
    </row>
    <row r="36" spans="1:24" ht="15.75">
      <c r="A36" s="162"/>
      <c r="B36" s="148"/>
      <c r="C36" s="19" t="s">
        <v>40</v>
      </c>
      <c r="D36" s="35">
        <v>16909.68</v>
      </c>
      <c r="E36" s="136">
        <f>35078.4+85630.3-85630.3</f>
        <v>35078.40000000001</v>
      </c>
      <c r="F36" s="136">
        <v>20110.8</v>
      </c>
      <c r="G36" s="136">
        <v>2544.4</v>
      </c>
      <c r="H36" s="106">
        <v>21277.609999999997</v>
      </c>
      <c r="I36" s="108">
        <v>787.8</v>
      </c>
      <c r="J36" s="20">
        <f t="shared" si="6"/>
        <v>4367.929999999997</v>
      </c>
      <c r="K36" s="20">
        <f t="shared" si="7"/>
        <v>1166.8099999999977</v>
      </c>
      <c r="L36" s="20">
        <f t="shared" si="8"/>
        <v>-13800.790000000012</v>
      </c>
      <c r="M36" s="20">
        <f t="shared" si="11"/>
        <v>-1756.6000000000001</v>
      </c>
      <c r="N36" s="44">
        <f t="shared" si="1"/>
        <v>1.2583094416925689</v>
      </c>
      <c r="O36" s="44">
        <f t="shared" si="2"/>
        <v>1.0580190743282216</v>
      </c>
      <c r="P36" s="44">
        <f t="shared" si="3"/>
        <v>0.6065729907863526</v>
      </c>
      <c r="Q36" s="80">
        <f t="shared" si="4"/>
        <v>0</v>
      </c>
      <c r="R36" s="80">
        <f t="shared" si="5"/>
        <v>0</v>
      </c>
      <c r="S36" s="21">
        <v>21277.6</v>
      </c>
      <c r="T36" s="21">
        <v>787.79</v>
      </c>
      <c r="U36" s="21">
        <v>0.01</v>
      </c>
      <c r="V36" s="12">
        <f t="shared" si="14"/>
        <v>21277.609999999997</v>
      </c>
      <c r="W36" s="12">
        <f t="shared" si="15"/>
        <v>787.8</v>
      </c>
      <c r="X36" s="7"/>
    </row>
    <row r="37" spans="1:24" ht="15.75">
      <c r="A37" s="162"/>
      <c r="B37" s="162"/>
      <c r="C37" s="58" t="s">
        <v>10</v>
      </c>
      <c r="D37" s="35">
        <f aca="true" t="shared" si="18" ref="D37:I37">SUM(D30:D33)</f>
        <v>70557.84</v>
      </c>
      <c r="E37" s="119">
        <f t="shared" si="18"/>
        <v>301398.7</v>
      </c>
      <c r="F37" s="119">
        <f t="shared" si="18"/>
        <v>215346.8</v>
      </c>
      <c r="G37" s="119">
        <f t="shared" si="18"/>
        <v>12983.9</v>
      </c>
      <c r="H37" s="119">
        <f t="shared" si="18"/>
        <v>209566.19999999998</v>
      </c>
      <c r="I37" s="119">
        <f t="shared" si="18"/>
        <v>2192.29</v>
      </c>
      <c r="J37" s="35">
        <f t="shared" si="6"/>
        <v>139008.36</v>
      </c>
      <c r="K37" s="35">
        <f t="shared" si="7"/>
        <v>-5780.600000000006</v>
      </c>
      <c r="L37" s="35">
        <f t="shared" si="8"/>
        <v>-91832.50000000003</v>
      </c>
      <c r="M37" s="35">
        <f t="shared" si="11"/>
        <v>-10791.61</v>
      </c>
      <c r="N37" s="57">
        <f t="shared" si="1"/>
        <v>2.970133439459031</v>
      </c>
      <c r="O37" s="57">
        <f aca="true" t="shared" si="19" ref="O37:O69">_xlfn.IFERROR(H37/F37,"")</f>
        <v>0.9731567870987634</v>
      </c>
      <c r="P37" s="57">
        <f aca="true" t="shared" si="20" ref="P37:P69">_xlfn.IFERROR(H37/E37,"")</f>
        <v>0.6953122226472774</v>
      </c>
      <c r="Q37" s="80">
        <f aca="true" t="shared" si="21" ref="Q37:Q69">V37-H37</f>
        <v>0</v>
      </c>
      <c r="R37" s="80">
        <f aca="true" t="shared" si="22" ref="R37:R69">W37-I37</f>
        <v>0</v>
      </c>
      <c r="S37" s="56">
        <f>SUM(S30:S33)</f>
        <v>209527.33999999997</v>
      </c>
      <c r="T37" s="56">
        <f>SUM(T31:T33)</f>
        <v>2153.4300000000003</v>
      </c>
      <c r="U37" s="56">
        <f>SUM(U31:U33)</f>
        <v>38.86</v>
      </c>
      <c r="V37" s="12">
        <f t="shared" si="14"/>
        <v>209566.19999999995</v>
      </c>
      <c r="W37" s="12">
        <f t="shared" si="15"/>
        <v>2192.2900000000004</v>
      </c>
      <c r="X37" s="7"/>
    </row>
    <row r="38" spans="1:24" ht="31.5">
      <c r="A38" s="162" t="s">
        <v>78</v>
      </c>
      <c r="B38" s="148" t="s">
        <v>16</v>
      </c>
      <c r="C38" s="16" t="s">
        <v>42</v>
      </c>
      <c r="D38" s="9">
        <v>174125.01</v>
      </c>
      <c r="E38" s="117">
        <v>326627.4</v>
      </c>
      <c r="F38" s="117">
        <v>179400.5</v>
      </c>
      <c r="G38" s="117">
        <v>22400</v>
      </c>
      <c r="H38" s="9">
        <v>161239.45</v>
      </c>
      <c r="I38" s="9">
        <v>2589.37</v>
      </c>
      <c r="J38" s="18">
        <f t="shared" si="6"/>
        <v>-12885.559999999998</v>
      </c>
      <c r="K38" s="18">
        <f t="shared" si="7"/>
        <v>-18161.04999999999</v>
      </c>
      <c r="L38" s="18">
        <f t="shared" si="8"/>
        <v>-165387.95</v>
      </c>
      <c r="M38" s="18">
        <f t="shared" si="11"/>
        <v>-19810.63</v>
      </c>
      <c r="N38" s="44">
        <f t="shared" si="1"/>
        <v>0.9259982239197</v>
      </c>
      <c r="O38" s="44">
        <f t="shared" si="19"/>
        <v>0.8987681193753642</v>
      </c>
      <c r="P38" s="44">
        <f t="shared" si="20"/>
        <v>0.49364949174502815</v>
      </c>
      <c r="Q38" s="80">
        <f t="shared" si="21"/>
        <v>0</v>
      </c>
      <c r="R38" s="80">
        <f t="shared" si="22"/>
        <v>0</v>
      </c>
      <c r="S38" s="11">
        <v>159581.38</v>
      </c>
      <c r="T38" s="11">
        <v>931.3</v>
      </c>
      <c r="U38" s="11">
        <v>1658.07</v>
      </c>
      <c r="V38" s="12">
        <f t="shared" si="14"/>
        <v>161239.45</v>
      </c>
      <c r="W38" s="12">
        <f t="shared" si="15"/>
        <v>2589.37</v>
      </c>
      <c r="X38" s="2"/>
    </row>
    <row r="39" spans="1:24" ht="15.75">
      <c r="A39" s="162"/>
      <c r="B39" s="148"/>
      <c r="C39" s="16" t="s">
        <v>43</v>
      </c>
      <c r="D39" s="9">
        <f>48527.27+955.13</f>
        <v>49482.399999999994</v>
      </c>
      <c r="E39" s="117">
        <f>245061.4+9204.6</f>
        <v>254266</v>
      </c>
      <c r="F39" s="117">
        <v>114104.6</v>
      </c>
      <c r="G39" s="117">
        <v>3600</v>
      </c>
      <c r="H39" s="9">
        <v>159989.02</v>
      </c>
      <c r="I39" s="9">
        <v>346.70000000000005</v>
      </c>
      <c r="J39" s="18">
        <f t="shared" si="6"/>
        <v>110506.62</v>
      </c>
      <c r="K39" s="18">
        <f t="shared" si="7"/>
        <v>45884.419999999984</v>
      </c>
      <c r="L39" s="18">
        <f t="shared" si="8"/>
        <v>-94276.98000000001</v>
      </c>
      <c r="M39" s="18">
        <f t="shared" si="11"/>
        <v>-3253.3</v>
      </c>
      <c r="N39" s="44">
        <f t="shared" si="1"/>
        <v>3.2332510145021263</v>
      </c>
      <c r="O39" s="44">
        <f t="shared" si="19"/>
        <v>1.4021259440898963</v>
      </c>
      <c r="P39" s="44">
        <f t="shared" si="20"/>
        <v>0.629219085524608</v>
      </c>
      <c r="Q39" s="80">
        <f t="shared" si="21"/>
        <v>0</v>
      </c>
      <c r="R39" s="80">
        <f t="shared" si="22"/>
        <v>0</v>
      </c>
      <c r="S39" s="11">
        <v>159663.66999999998</v>
      </c>
      <c r="T39" s="11">
        <v>21.35</v>
      </c>
      <c r="U39" s="11">
        <v>325.35</v>
      </c>
      <c r="V39" s="12">
        <f t="shared" si="14"/>
        <v>159989.02</v>
      </c>
      <c r="W39" s="12">
        <f t="shared" si="15"/>
        <v>346.70000000000005</v>
      </c>
      <c r="X39" s="2"/>
    </row>
    <row r="40" spans="1:24" ht="31.5">
      <c r="A40" s="162"/>
      <c r="B40" s="148"/>
      <c r="C40" s="13" t="s">
        <v>44</v>
      </c>
      <c r="D40" s="9">
        <v>28633.74</v>
      </c>
      <c r="E40" s="117">
        <f>48566.2-5534.7</f>
        <v>43031.5</v>
      </c>
      <c r="F40" s="117">
        <v>24026</v>
      </c>
      <c r="G40" s="117">
        <v>3500</v>
      </c>
      <c r="H40" s="9">
        <v>24271.94</v>
      </c>
      <c r="I40" s="9">
        <v>412.89</v>
      </c>
      <c r="J40" s="9">
        <f t="shared" si="6"/>
        <v>-4361.800000000003</v>
      </c>
      <c r="K40" s="9">
        <f t="shared" si="7"/>
        <v>245.9399999999987</v>
      </c>
      <c r="L40" s="9">
        <f t="shared" si="8"/>
        <v>-18759.56</v>
      </c>
      <c r="M40" s="9">
        <f t="shared" si="11"/>
        <v>-3087.11</v>
      </c>
      <c r="N40" s="44">
        <f t="shared" si="1"/>
        <v>0.8476692182020231</v>
      </c>
      <c r="O40" s="44">
        <f t="shared" si="19"/>
        <v>1.0102364105552317</v>
      </c>
      <c r="P40" s="44">
        <f t="shared" si="20"/>
        <v>0.56405052112987</v>
      </c>
      <c r="Q40" s="80">
        <f t="shared" si="21"/>
        <v>0</v>
      </c>
      <c r="R40" s="80">
        <f t="shared" si="22"/>
        <v>0</v>
      </c>
      <c r="S40" s="11">
        <v>24271.94</v>
      </c>
      <c r="T40" s="11">
        <v>412.89</v>
      </c>
      <c r="U40" s="11"/>
      <c r="V40" s="12">
        <f t="shared" si="14"/>
        <v>24271.94</v>
      </c>
      <c r="W40" s="12">
        <f t="shared" si="15"/>
        <v>412.89</v>
      </c>
      <c r="X40" s="2"/>
    </row>
    <row r="41" spans="1:24" ht="31.5">
      <c r="A41" s="162"/>
      <c r="B41" s="148"/>
      <c r="C41" s="13" t="s">
        <v>83</v>
      </c>
      <c r="D41" s="9">
        <v>1933.1100000000001</v>
      </c>
      <c r="E41" s="117">
        <v>2948.3</v>
      </c>
      <c r="F41" s="117">
        <v>1689</v>
      </c>
      <c r="G41" s="117">
        <v>0</v>
      </c>
      <c r="H41" s="9">
        <v>1855.79</v>
      </c>
      <c r="I41" s="9">
        <v>0</v>
      </c>
      <c r="J41" s="9">
        <f t="shared" si="6"/>
        <v>-77.32000000000016</v>
      </c>
      <c r="K41" s="9">
        <f t="shared" si="7"/>
        <v>166.78999999999996</v>
      </c>
      <c r="L41" s="9">
        <f t="shared" si="8"/>
        <v>-1092.5100000000002</v>
      </c>
      <c r="M41" s="9">
        <f t="shared" si="11"/>
        <v>0</v>
      </c>
      <c r="N41" s="44">
        <f t="shared" si="1"/>
        <v>0.9600022761250006</v>
      </c>
      <c r="O41" s="44">
        <f t="shared" si="19"/>
        <v>1.0987507400828893</v>
      </c>
      <c r="P41" s="44">
        <f t="shared" si="20"/>
        <v>0.6294440864226842</v>
      </c>
      <c r="Q41" s="80">
        <f t="shared" si="21"/>
        <v>0</v>
      </c>
      <c r="R41" s="80">
        <f t="shared" si="22"/>
        <v>0</v>
      </c>
      <c r="S41" s="11">
        <v>1855.79</v>
      </c>
      <c r="T41" s="11">
        <v>0</v>
      </c>
      <c r="U41" s="11"/>
      <c r="V41" s="12">
        <f t="shared" si="14"/>
        <v>1855.79</v>
      </c>
      <c r="W41" s="12">
        <f t="shared" si="15"/>
        <v>0</v>
      </c>
      <c r="X41" s="2"/>
    </row>
    <row r="42" spans="1:24" ht="15.75">
      <c r="A42" s="162"/>
      <c r="B42" s="148"/>
      <c r="C42" s="22" t="s">
        <v>88</v>
      </c>
      <c r="D42" s="9">
        <v>64.59</v>
      </c>
      <c r="E42" s="117">
        <v>0</v>
      </c>
      <c r="F42" s="117">
        <v>0</v>
      </c>
      <c r="G42" s="117">
        <v>0</v>
      </c>
      <c r="H42" s="9">
        <v>183.60000000000002</v>
      </c>
      <c r="I42" s="9">
        <v>33.260000000000005</v>
      </c>
      <c r="J42" s="9">
        <f t="shared" si="6"/>
        <v>119.01000000000002</v>
      </c>
      <c r="K42" s="9">
        <f t="shared" si="7"/>
        <v>183.60000000000002</v>
      </c>
      <c r="L42" s="9">
        <f t="shared" si="8"/>
        <v>183.60000000000002</v>
      </c>
      <c r="M42" s="9">
        <f t="shared" si="11"/>
        <v>33.260000000000005</v>
      </c>
      <c r="N42" s="44">
        <f t="shared" si="1"/>
        <v>2.842545285647933</v>
      </c>
      <c r="O42" s="44">
        <f t="shared" si="19"/>
      </c>
      <c r="P42" s="44">
        <f t="shared" si="20"/>
      </c>
      <c r="Q42" s="80">
        <f t="shared" si="21"/>
        <v>0</v>
      </c>
      <c r="R42" s="80">
        <f t="shared" si="22"/>
        <v>0</v>
      </c>
      <c r="S42" s="11">
        <v>183.60000000000002</v>
      </c>
      <c r="T42" s="11">
        <v>33.260000000000005</v>
      </c>
      <c r="U42" s="11"/>
      <c r="V42" s="12">
        <f t="shared" si="14"/>
        <v>183.60000000000002</v>
      </c>
      <c r="W42" s="12">
        <f t="shared" si="15"/>
        <v>33.260000000000005</v>
      </c>
      <c r="X42" s="2"/>
    </row>
    <row r="43" spans="1:24" ht="27.75" customHeight="1">
      <c r="A43" s="162"/>
      <c r="B43" s="148"/>
      <c r="C43" s="16" t="s">
        <v>45</v>
      </c>
      <c r="D43" s="9">
        <v>83344.14</v>
      </c>
      <c r="E43" s="93">
        <v>104142</v>
      </c>
      <c r="F43" s="122">
        <v>53740</v>
      </c>
      <c r="G43" s="93">
        <v>9300</v>
      </c>
      <c r="H43" s="9">
        <v>97525.12000000001</v>
      </c>
      <c r="I43" s="9">
        <v>2108.1600000000003</v>
      </c>
      <c r="J43" s="5">
        <f t="shared" si="6"/>
        <v>14180.98000000001</v>
      </c>
      <c r="K43" s="5">
        <f t="shared" si="7"/>
        <v>43785.12000000001</v>
      </c>
      <c r="L43" s="5">
        <f t="shared" si="8"/>
        <v>-6616.87999999999</v>
      </c>
      <c r="M43" s="5">
        <f t="shared" si="11"/>
        <v>-7191.84</v>
      </c>
      <c r="N43" s="44">
        <f t="shared" si="1"/>
        <v>1.170149694987554</v>
      </c>
      <c r="O43" s="44">
        <f t="shared" si="19"/>
        <v>1.8147584666914778</v>
      </c>
      <c r="P43" s="44">
        <f t="shared" si="20"/>
        <v>0.9364629064162394</v>
      </c>
      <c r="Q43" s="80">
        <f t="shared" si="21"/>
        <v>0</v>
      </c>
      <c r="R43" s="80">
        <f t="shared" si="22"/>
        <v>0</v>
      </c>
      <c r="S43" s="11">
        <v>97505.8</v>
      </c>
      <c r="T43" s="11">
        <v>2088.84</v>
      </c>
      <c r="U43" s="11">
        <v>19.32</v>
      </c>
      <c r="V43" s="12">
        <f t="shared" si="14"/>
        <v>97525.12000000001</v>
      </c>
      <c r="W43" s="12">
        <f t="shared" si="15"/>
        <v>2108.1600000000003</v>
      </c>
      <c r="X43" s="2"/>
    </row>
    <row r="44" spans="1:25" s="40" customFormat="1" ht="18" customHeight="1" hidden="1">
      <c r="A44" s="162"/>
      <c r="B44" s="148"/>
      <c r="C44" s="86" t="s">
        <v>46</v>
      </c>
      <c r="D44" s="135"/>
      <c r="E44" s="93">
        <v>0</v>
      </c>
      <c r="F44" s="93"/>
      <c r="G44" s="93"/>
      <c r="H44" s="9">
        <v>0</v>
      </c>
      <c r="I44" s="9">
        <v>0</v>
      </c>
      <c r="J44" s="5">
        <v>0</v>
      </c>
      <c r="K44" s="5">
        <f t="shared" si="7"/>
        <v>0</v>
      </c>
      <c r="L44" s="5">
        <f t="shared" si="8"/>
        <v>0</v>
      </c>
      <c r="M44" s="5">
        <f t="shared" si="11"/>
        <v>0</v>
      </c>
      <c r="N44" s="44">
        <f t="shared" si="1"/>
      </c>
      <c r="O44" s="44">
        <f t="shared" si="19"/>
      </c>
      <c r="P44" s="44">
        <f t="shared" si="20"/>
      </c>
      <c r="Q44" s="80">
        <f t="shared" si="21"/>
        <v>0</v>
      </c>
      <c r="R44" s="80">
        <f t="shared" si="22"/>
        <v>0</v>
      </c>
      <c r="S44" s="11"/>
      <c r="T44" s="11"/>
      <c r="U44" s="11"/>
      <c r="V44" s="12">
        <f t="shared" si="14"/>
        <v>0</v>
      </c>
      <c r="W44" s="12">
        <f>T44+U44</f>
        <v>0</v>
      </c>
      <c r="X44" s="2">
        <v>1</v>
      </c>
      <c r="Y44" s="62"/>
    </row>
    <row r="45" spans="1:24" ht="27.75" customHeight="1">
      <c r="A45" s="162"/>
      <c r="B45" s="148"/>
      <c r="C45" s="16" t="s">
        <v>47</v>
      </c>
      <c r="D45" s="9">
        <v>24983.3</v>
      </c>
      <c r="E45" s="93">
        <v>45272.2</v>
      </c>
      <c r="F45" s="93">
        <v>18300</v>
      </c>
      <c r="G45" s="93">
        <v>5500</v>
      </c>
      <c r="H45" s="9">
        <v>44119.26</v>
      </c>
      <c r="I45" s="9">
        <v>189.29</v>
      </c>
      <c r="J45" s="5">
        <v>5230.72</v>
      </c>
      <c r="K45" s="5">
        <f t="shared" si="7"/>
        <v>25819.260000000002</v>
      </c>
      <c r="L45" s="5">
        <f t="shared" si="8"/>
        <v>-1152.939999999995</v>
      </c>
      <c r="M45" s="5">
        <f t="shared" si="11"/>
        <v>-5310.71</v>
      </c>
      <c r="N45" s="44">
        <f t="shared" si="1"/>
        <v>1.7659500546364972</v>
      </c>
      <c r="O45" s="44">
        <f t="shared" si="19"/>
        <v>2.410888524590164</v>
      </c>
      <c r="P45" s="44">
        <f t="shared" si="20"/>
        <v>0.9745331572134777</v>
      </c>
      <c r="Q45" s="80">
        <f t="shared" si="21"/>
        <v>0</v>
      </c>
      <c r="R45" s="80">
        <f t="shared" si="22"/>
        <v>0</v>
      </c>
      <c r="S45" s="6">
        <v>44119.26</v>
      </c>
      <c r="T45" s="6">
        <v>189.29</v>
      </c>
      <c r="U45" s="11"/>
      <c r="V45" s="12">
        <f t="shared" si="14"/>
        <v>44119.26</v>
      </c>
      <c r="W45" s="12">
        <f>T45+U45</f>
        <v>189.29</v>
      </c>
      <c r="X45" s="2"/>
    </row>
    <row r="46" spans="1:24" ht="27.75" customHeight="1">
      <c r="A46" s="162"/>
      <c r="B46" s="148"/>
      <c r="C46" s="13" t="s">
        <v>52</v>
      </c>
      <c r="D46" s="9">
        <v>7596.120000000001</v>
      </c>
      <c r="E46" s="123">
        <v>14007.9</v>
      </c>
      <c r="F46" s="123">
        <v>5563.8</v>
      </c>
      <c r="G46" s="123">
        <v>0</v>
      </c>
      <c r="H46" s="9">
        <v>6261.679999999999</v>
      </c>
      <c r="I46" s="9">
        <v>669.88</v>
      </c>
      <c r="J46" s="5">
        <v>5230.72</v>
      </c>
      <c r="K46" s="5">
        <f t="shared" si="7"/>
        <v>697.8799999999992</v>
      </c>
      <c r="L46" s="5">
        <f t="shared" si="8"/>
        <v>-7746.22</v>
      </c>
      <c r="M46" s="5">
        <f t="shared" si="11"/>
        <v>669.88</v>
      </c>
      <c r="N46" s="44">
        <f t="shared" si="1"/>
        <v>0.8243261033264349</v>
      </c>
      <c r="O46" s="44">
        <f t="shared" si="19"/>
        <v>1.1254322585283438</v>
      </c>
      <c r="P46" s="44">
        <f t="shared" si="20"/>
        <v>0.4470106154384311</v>
      </c>
      <c r="Q46" s="80"/>
      <c r="R46" s="80"/>
      <c r="S46" s="6">
        <v>5708.299999999999</v>
      </c>
      <c r="T46" s="6">
        <v>116.49999999999999</v>
      </c>
      <c r="U46" s="11">
        <v>553.38</v>
      </c>
      <c r="V46" s="12">
        <f t="shared" si="14"/>
        <v>6261.679999999999</v>
      </c>
      <c r="W46" s="12">
        <f>T46+U46</f>
        <v>669.88</v>
      </c>
      <c r="X46" s="2"/>
    </row>
    <row r="47" spans="1:24" ht="27.75" customHeight="1">
      <c r="A47" s="162"/>
      <c r="B47" s="148"/>
      <c r="C47" s="13" t="s">
        <v>112</v>
      </c>
      <c r="D47" s="9">
        <v>-0.69</v>
      </c>
      <c r="E47" s="123">
        <v>0</v>
      </c>
      <c r="F47" s="123">
        <v>0</v>
      </c>
      <c r="G47" s="123">
        <v>0</v>
      </c>
      <c r="H47" s="9">
        <v>21270.9</v>
      </c>
      <c r="I47" s="9">
        <v>596.46</v>
      </c>
      <c r="J47" s="5">
        <v>5230.72</v>
      </c>
      <c r="K47" s="5">
        <f t="shared" si="7"/>
        <v>21270.9</v>
      </c>
      <c r="L47" s="5">
        <f t="shared" si="8"/>
        <v>21270.9</v>
      </c>
      <c r="M47" s="5">
        <f t="shared" si="11"/>
        <v>596.46</v>
      </c>
      <c r="N47" s="44">
        <f t="shared" si="1"/>
        <v>-30827.39130434783</v>
      </c>
      <c r="O47" s="44">
        <f t="shared" si="19"/>
      </c>
      <c r="P47" s="44">
        <f t="shared" si="20"/>
      </c>
      <c r="Q47" s="80"/>
      <c r="R47" s="80"/>
      <c r="S47" s="6">
        <v>21192.02</v>
      </c>
      <c r="T47" s="6">
        <v>517.58</v>
      </c>
      <c r="U47" s="11">
        <v>78.88</v>
      </c>
      <c r="V47" s="12">
        <f t="shared" si="14"/>
        <v>21270.9</v>
      </c>
      <c r="W47" s="12">
        <f>T47+U47</f>
        <v>596.46</v>
      </c>
      <c r="X47" s="2"/>
    </row>
    <row r="48" spans="1:24" ht="15.75">
      <c r="A48" s="162"/>
      <c r="B48" s="162"/>
      <c r="C48" s="58" t="s">
        <v>10</v>
      </c>
      <c r="D48" s="35">
        <f aca="true" t="shared" si="23" ref="D48:I48">SUM(D38:D47)</f>
        <v>370161.72</v>
      </c>
      <c r="E48" s="119">
        <f t="shared" si="23"/>
        <v>790295.3</v>
      </c>
      <c r="F48" s="119">
        <f t="shared" si="23"/>
        <v>396823.89999999997</v>
      </c>
      <c r="G48" s="119">
        <f t="shared" si="23"/>
        <v>44300</v>
      </c>
      <c r="H48" s="119">
        <f t="shared" si="23"/>
        <v>516716.75999999995</v>
      </c>
      <c r="I48" s="119">
        <f t="shared" si="23"/>
        <v>6946.01</v>
      </c>
      <c r="J48" s="35">
        <f t="shared" si="6"/>
        <v>146555.03999999998</v>
      </c>
      <c r="K48" s="35">
        <f t="shared" si="7"/>
        <v>119892.85999999999</v>
      </c>
      <c r="L48" s="35">
        <f t="shared" si="8"/>
        <v>-273578.5400000001</v>
      </c>
      <c r="M48" s="35">
        <f t="shared" si="11"/>
        <v>-37353.99</v>
      </c>
      <c r="N48" s="44">
        <f aca="true" t="shared" si="24" ref="N48:N86">_xlfn.IFERROR(H48/D48,"")</f>
        <v>1.3959216528386567</v>
      </c>
      <c r="O48" s="44">
        <f t="shared" si="19"/>
        <v>1.3021311468386858</v>
      </c>
      <c r="P48" s="44">
        <f t="shared" si="20"/>
        <v>0.6538274490560679</v>
      </c>
      <c r="Q48" s="81">
        <f t="shared" si="21"/>
        <v>0</v>
      </c>
      <c r="R48" s="81">
        <f t="shared" si="22"/>
        <v>0</v>
      </c>
      <c r="S48" s="56">
        <f>SUM(S38:S47)</f>
        <v>514081.75999999995</v>
      </c>
      <c r="T48" s="56">
        <f>SUM(T38:T47)</f>
        <v>4311.01</v>
      </c>
      <c r="U48" s="56">
        <f>SUM(U38:U47)</f>
        <v>2635</v>
      </c>
      <c r="V48" s="12">
        <f>S48+U48</f>
        <v>516716.75999999995</v>
      </c>
      <c r="W48" s="12">
        <f>T48+U48</f>
        <v>6946.01</v>
      </c>
      <c r="X48" s="7"/>
    </row>
    <row r="49" spans="1:24" ht="15.75">
      <c r="A49" s="162" t="s">
        <v>48</v>
      </c>
      <c r="B49" s="148" t="s">
        <v>49</v>
      </c>
      <c r="C49" s="13" t="s">
        <v>29</v>
      </c>
      <c r="D49" s="5">
        <v>8187.13</v>
      </c>
      <c r="E49" s="93">
        <v>2731.1</v>
      </c>
      <c r="F49" s="93">
        <v>2731.1</v>
      </c>
      <c r="G49" s="93">
        <v>0</v>
      </c>
      <c r="H49" s="9">
        <v>2731.14</v>
      </c>
      <c r="I49" s="9">
        <v>0</v>
      </c>
      <c r="J49" s="14">
        <f t="shared" si="6"/>
        <v>-5455.99</v>
      </c>
      <c r="K49" s="14">
        <f t="shared" si="7"/>
        <v>0.03999999999996362</v>
      </c>
      <c r="L49" s="14">
        <f t="shared" si="8"/>
        <v>0.03999999999996362</v>
      </c>
      <c r="M49" s="14">
        <f t="shared" si="11"/>
        <v>0</v>
      </c>
      <c r="N49" s="44">
        <f t="shared" si="24"/>
        <v>0.3335894263313273</v>
      </c>
      <c r="O49" s="44">
        <f t="shared" si="19"/>
        <v>1.0000146461132877</v>
      </c>
      <c r="P49" s="44">
        <f t="shared" si="20"/>
        <v>1.0000146461132877</v>
      </c>
      <c r="Q49" s="80">
        <f t="shared" si="21"/>
        <v>0</v>
      </c>
      <c r="R49" s="80">
        <f t="shared" si="22"/>
        <v>0</v>
      </c>
      <c r="S49" s="6">
        <v>2731.14</v>
      </c>
      <c r="T49" s="6">
        <v>0</v>
      </c>
      <c r="U49" s="6"/>
      <c r="V49" s="12">
        <f t="shared" si="14"/>
        <v>2731.14</v>
      </c>
      <c r="W49" s="12">
        <f t="shared" si="15"/>
        <v>0</v>
      </c>
      <c r="X49" s="2"/>
    </row>
    <row r="50" spans="1:24" ht="15.75">
      <c r="A50" s="162"/>
      <c r="B50" s="148"/>
      <c r="C50" s="58" t="s">
        <v>10</v>
      </c>
      <c r="D50" s="35">
        <f>D49</f>
        <v>8187.13</v>
      </c>
      <c r="E50" s="124">
        <f>SUM(E49:E49)</f>
        <v>2731.1</v>
      </c>
      <c r="F50" s="124">
        <f>SUM(F49:F49)</f>
        <v>2731.1</v>
      </c>
      <c r="G50" s="124">
        <f>SUM(G49:G49)</f>
        <v>0</v>
      </c>
      <c r="H50" s="124">
        <f>SUM(H49:H49)</f>
        <v>2731.14</v>
      </c>
      <c r="I50" s="124">
        <f>SUM(I49:I49)</f>
        <v>0</v>
      </c>
      <c r="J50" s="59">
        <f t="shared" si="6"/>
        <v>-5455.99</v>
      </c>
      <c r="K50" s="59">
        <f t="shared" si="7"/>
        <v>0.03999999999996362</v>
      </c>
      <c r="L50" s="59">
        <f t="shared" si="8"/>
        <v>0.03999999999996362</v>
      </c>
      <c r="M50" s="59">
        <f t="shared" si="11"/>
        <v>0</v>
      </c>
      <c r="N50" s="44">
        <f t="shared" si="24"/>
        <v>0.3335894263313273</v>
      </c>
      <c r="O50" s="44">
        <f t="shared" si="19"/>
        <v>1.0000146461132877</v>
      </c>
      <c r="P50" s="44">
        <f t="shared" si="20"/>
        <v>1.0000146461132877</v>
      </c>
      <c r="Q50" s="81">
        <f t="shared" si="21"/>
        <v>0</v>
      </c>
      <c r="R50" s="81">
        <f t="shared" si="22"/>
        <v>0</v>
      </c>
      <c r="S50" s="60">
        <f>SUM(S49:S49)</f>
        <v>2731.14</v>
      </c>
      <c r="T50" s="60">
        <f>T49</f>
        <v>0</v>
      </c>
      <c r="U50" s="60">
        <f>SUM(U49:U49)</f>
        <v>0</v>
      </c>
      <c r="V50" s="12">
        <f t="shared" si="14"/>
        <v>2731.14</v>
      </c>
      <c r="W50" s="12">
        <f t="shared" si="15"/>
        <v>0</v>
      </c>
      <c r="X50" s="7"/>
    </row>
    <row r="51" spans="1:25" s="40" customFormat="1" ht="15.75" hidden="1">
      <c r="A51" s="155" t="s">
        <v>51</v>
      </c>
      <c r="B51" s="158" t="s">
        <v>80</v>
      </c>
      <c r="C51" s="87" t="s">
        <v>29</v>
      </c>
      <c r="D51" s="5"/>
      <c r="E51" s="125"/>
      <c r="F51" s="125"/>
      <c r="G51" s="125"/>
      <c r="H51" s="9">
        <v>0</v>
      </c>
      <c r="I51" s="9">
        <v>0</v>
      </c>
      <c r="J51" s="14">
        <f t="shared" si="6"/>
        <v>0</v>
      </c>
      <c r="K51" s="14">
        <f t="shared" si="7"/>
        <v>0</v>
      </c>
      <c r="L51" s="14">
        <f t="shared" si="8"/>
        <v>0</v>
      </c>
      <c r="M51" s="14">
        <f t="shared" si="11"/>
        <v>0</v>
      </c>
      <c r="N51" s="44">
        <f t="shared" si="24"/>
      </c>
      <c r="O51" s="44">
        <f t="shared" si="19"/>
      </c>
      <c r="P51" s="44">
        <f t="shared" si="20"/>
      </c>
      <c r="Q51" s="80">
        <f t="shared" si="21"/>
        <v>0</v>
      </c>
      <c r="R51" s="80">
        <f t="shared" si="22"/>
        <v>0</v>
      </c>
      <c r="S51" s="6"/>
      <c r="T51" s="6"/>
      <c r="U51" s="6"/>
      <c r="V51" s="12">
        <f t="shared" si="14"/>
        <v>0</v>
      </c>
      <c r="W51" s="12">
        <f t="shared" si="15"/>
        <v>0</v>
      </c>
      <c r="X51" s="2">
        <v>1</v>
      </c>
      <c r="Y51" s="62"/>
    </row>
    <row r="52" spans="1:24" ht="15.75">
      <c r="A52" s="155"/>
      <c r="B52" s="158"/>
      <c r="C52" s="23" t="s">
        <v>92</v>
      </c>
      <c r="D52" s="5">
        <v>193181.27</v>
      </c>
      <c r="E52" s="93">
        <v>636054.38</v>
      </c>
      <c r="F52" s="93">
        <v>310979.06000000006</v>
      </c>
      <c r="G52" s="93">
        <v>46441.8</v>
      </c>
      <c r="H52" s="9">
        <v>279968.99</v>
      </c>
      <c r="I52" s="9">
        <v>5582.679999999999</v>
      </c>
      <c r="J52" s="14">
        <f t="shared" si="6"/>
        <v>86787.72</v>
      </c>
      <c r="K52" s="14">
        <f t="shared" si="7"/>
        <v>-31010.070000000065</v>
      </c>
      <c r="L52" s="14">
        <f t="shared" si="8"/>
        <v>-356085.39</v>
      </c>
      <c r="M52" s="14">
        <f t="shared" si="11"/>
        <v>-40859.12</v>
      </c>
      <c r="N52" s="44">
        <f t="shared" si="24"/>
        <v>1.4492553548281364</v>
      </c>
      <c r="O52" s="44">
        <f t="shared" si="19"/>
        <v>0.9002824498858538</v>
      </c>
      <c r="P52" s="44">
        <f t="shared" si="20"/>
        <v>0.4401651789584406</v>
      </c>
      <c r="Q52" s="80">
        <f t="shared" si="21"/>
        <v>0</v>
      </c>
      <c r="R52" s="80">
        <f t="shared" si="22"/>
        <v>0</v>
      </c>
      <c r="S52" s="6">
        <v>279223.17</v>
      </c>
      <c r="T52" s="6">
        <v>4836.86</v>
      </c>
      <c r="U52" s="6">
        <v>745.82</v>
      </c>
      <c r="V52" s="12">
        <f t="shared" si="14"/>
        <v>279968.99</v>
      </c>
      <c r="W52" s="12">
        <f t="shared" si="15"/>
        <v>5582.679999999999</v>
      </c>
      <c r="X52" s="2"/>
    </row>
    <row r="53" spans="1:24" ht="15.75">
      <c r="A53" s="155"/>
      <c r="B53" s="158"/>
      <c r="C53" s="23" t="s">
        <v>84</v>
      </c>
      <c r="D53" s="5">
        <v>129883.17</v>
      </c>
      <c r="E53" s="94">
        <v>415818.14</v>
      </c>
      <c r="F53" s="94">
        <v>207499.3</v>
      </c>
      <c r="G53" s="94">
        <v>32039.5</v>
      </c>
      <c r="H53" s="9">
        <v>173520.88999999998</v>
      </c>
      <c r="I53" s="9">
        <v>5543.95</v>
      </c>
      <c r="J53" s="14">
        <f t="shared" si="6"/>
        <v>43637.71999999999</v>
      </c>
      <c r="K53" s="14">
        <f t="shared" si="7"/>
        <v>-33978.41</v>
      </c>
      <c r="L53" s="14">
        <f t="shared" si="8"/>
        <v>-242297.25000000003</v>
      </c>
      <c r="M53" s="14">
        <f t="shared" si="11"/>
        <v>-26495.55</v>
      </c>
      <c r="N53" s="44">
        <f t="shared" si="24"/>
        <v>1.3359767089146344</v>
      </c>
      <c r="O53" s="44">
        <f t="shared" si="19"/>
        <v>0.8362480740898884</v>
      </c>
      <c r="P53" s="44">
        <f t="shared" si="20"/>
        <v>0.41729995233012196</v>
      </c>
      <c r="Q53" s="80">
        <f t="shared" si="21"/>
        <v>0</v>
      </c>
      <c r="R53" s="80">
        <f t="shared" si="22"/>
        <v>0</v>
      </c>
      <c r="S53" s="6">
        <v>172714.34</v>
      </c>
      <c r="T53" s="6">
        <v>4737.4</v>
      </c>
      <c r="U53" s="6">
        <v>806.55</v>
      </c>
      <c r="V53" s="12">
        <f t="shared" si="14"/>
        <v>173520.88999999998</v>
      </c>
      <c r="W53" s="12">
        <f t="shared" si="15"/>
        <v>5543.95</v>
      </c>
      <c r="X53" s="2"/>
    </row>
    <row r="54" spans="1:24" ht="15.75">
      <c r="A54" s="155"/>
      <c r="B54" s="158"/>
      <c r="C54" s="23" t="s">
        <v>85</v>
      </c>
      <c r="D54" s="5">
        <v>1824133.58</v>
      </c>
      <c r="E54" s="117">
        <v>3830717.66</v>
      </c>
      <c r="F54" s="117">
        <v>2114295.65</v>
      </c>
      <c r="G54" s="117">
        <v>290287.9</v>
      </c>
      <c r="H54" s="9">
        <v>1972956.8499999999</v>
      </c>
      <c r="I54" s="9">
        <v>74705.11</v>
      </c>
      <c r="J54" s="14">
        <f t="shared" si="6"/>
        <v>148823.2699999998</v>
      </c>
      <c r="K54" s="14">
        <f t="shared" si="7"/>
        <v>-141338.80000000005</v>
      </c>
      <c r="L54" s="14">
        <f t="shared" si="8"/>
        <v>-1857760.8100000003</v>
      </c>
      <c r="M54" s="14">
        <f t="shared" si="11"/>
        <v>-215582.79000000004</v>
      </c>
      <c r="N54" s="44">
        <f t="shared" si="24"/>
        <v>1.0815857301415392</v>
      </c>
      <c r="O54" s="44">
        <f t="shared" si="19"/>
        <v>0.9331508817132552</v>
      </c>
      <c r="P54" s="44">
        <f t="shared" si="20"/>
        <v>0.5150358301269323</v>
      </c>
      <c r="Q54" s="80">
        <f t="shared" si="21"/>
        <v>0</v>
      </c>
      <c r="R54" s="80">
        <f t="shared" si="22"/>
        <v>0</v>
      </c>
      <c r="S54" s="6">
        <v>1960490.39</v>
      </c>
      <c r="T54" s="6">
        <v>62238.65</v>
      </c>
      <c r="U54" s="6">
        <v>12466.46</v>
      </c>
      <c r="V54" s="12">
        <f t="shared" si="14"/>
        <v>1972956.8499999999</v>
      </c>
      <c r="W54" s="12">
        <f t="shared" si="15"/>
        <v>74705.11</v>
      </c>
      <c r="X54" s="2"/>
    </row>
    <row r="55" spans="1:24" ht="15.75">
      <c r="A55" s="155"/>
      <c r="B55" s="158"/>
      <c r="C55" s="23" t="s">
        <v>86</v>
      </c>
      <c r="D55" s="5">
        <v>1234.53</v>
      </c>
      <c r="E55" s="93">
        <v>0</v>
      </c>
      <c r="F55" s="93">
        <v>0</v>
      </c>
      <c r="G55" s="93">
        <v>0</v>
      </c>
      <c r="H55" s="9">
        <v>665.94</v>
      </c>
      <c r="I55" s="9">
        <v>74.54</v>
      </c>
      <c r="J55" s="14">
        <f t="shared" si="6"/>
        <v>-568.5899999999999</v>
      </c>
      <c r="K55" s="14">
        <f t="shared" si="7"/>
        <v>665.94</v>
      </c>
      <c r="L55" s="14">
        <f t="shared" si="8"/>
        <v>665.94</v>
      </c>
      <c r="M55" s="14">
        <f t="shared" si="11"/>
        <v>74.54</v>
      </c>
      <c r="N55" s="44">
        <f t="shared" si="24"/>
        <v>0.5394279604383855</v>
      </c>
      <c r="O55" s="44">
        <f t="shared" si="19"/>
      </c>
      <c r="P55" s="44">
        <f t="shared" si="20"/>
      </c>
      <c r="Q55" s="80">
        <f t="shared" si="21"/>
        <v>0</v>
      </c>
      <c r="R55" s="80">
        <f t="shared" si="22"/>
        <v>0</v>
      </c>
      <c r="S55" s="6">
        <v>665.94</v>
      </c>
      <c r="T55" s="6">
        <v>74.54</v>
      </c>
      <c r="U55" s="6">
        <v>0</v>
      </c>
      <c r="V55" s="12">
        <f t="shared" si="14"/>
        <v>665.94</v>
      </c>
      <c r="W55" s="12">
        <f t="shared" si="15"/>
        <v>74.54</v>
      </c>
      <c r="X55" s="2"/>
    </row>
    <row r="56" spans="1:24" ht="15.75">
      <c r="A56" s="155"/>
      <c r="B56" s="158"/>
      <c r="C56" s="61" t="s">
        <v>10</v>
      </c>
      <c r="D56" s="35">
        <f aca="true" t="shared" si="25" ref="D56:I56">SUM(D51:D55)</f>
        <v>2148432.55</v>
      </c>
      <c r="E56" s="126">
        <f t="shared" si="25"/>
        <v>4882590.18</v>
      </c>
      <c r="F56" s="126">
        <f t="shared" si="25"/>
        <v>2632774.01</v>
      </c>
      <c r="G56" s="126">
        <f t="shared" si="25"/>
        <v>368769.2</v>
      </c>
      <c r="H56" s="126">
        <f t="shared" si="25"/>
        <v>2427112.67</v>
      </c>
      <c r="I56" s="126">
        <f t="shared" si="25"/>
        <v>85906.28</v>
      </c>
      <c r="J56" s="35">
        <f t="shared" si="6"/>
        <v>278680.1200000001</v>
      </c>
      <c r="K56" s="35">
        <f t="shared" si="7"/>
        <v>-205661.33999999985</v>
      </c>
      <c r="L56" s="35">
        <f t="shared" si="8"/>
        <v>-2455477.51</v>
      </c>
      <c r="M56" s="35">
        <f t="shared" si="11"/>
        <v>-282862.92000000004</v>
      </c>
      <c r="N56" s="44">
        <f t="shared" si="24"/>
        <v>1.1297132274410944</v>
      </c>
      <c r="O56" s="44">
        <f t="shared" si="19"/>
        <v>0.9218841650598033</v>
      </c>
      <c r="P56" s="44">
        <f t="shared" si="20"/>
        <v>0.49709530813007946</v>
      </c>
      <c r="Q56" s="81">
        <f t="shared" si="21"/>
        <v>0</v>
      </c>
      <c r="R56" s="81">
        <f t="shared" si="22"/>
        <v>0</v>
      </c>
      <c r="S56" s="56">
        <f>SUM(S51:S55)</f>
        <v>2413093.84</v>
      </c>
      <c r="T56" s="56">
        <f>SUM(T51:T55)</f>
        <v>71887.45</v>
      </c>
      <c r="U56" s="56">
        <f>SUM(U51:U55)</f>
        <v>14018.829999999998</v>
      </c>
      <c r="V56" s="12">
        <f t="shared" si="14"/>
        <v>2427112.67</v>
      </c>
      <c r="W56" s="12">
        <f t="shared" si="15"/>
        <v>85906.28</v>
      </c>
      <c r="X56" s="7"/>
    </row>
    <row r="57" spans="1:24" ht="15.75">
      <c r="A57" s="163">
        <v>991</v>
      </c>
      <c r="B57" s="163" t="s">
        <v>53</v>
      </c>
      <c r="C57" s="16" t="s">
        <v>54</v>
      </c>
      <c r="D57" s="9">
        <v>27037.66</v>
      </c>
      <c r="E57" s="117">
        <v>54298.2</v>
      </c>
      <c r="F57" s="117">
        <v>30200</v>
      </c>
      <c r="G57" s="117">
        <v>4500</v>
      </c>
      <c r="H57" s="9">
        <v>27632.14</v>
      </c>
      <c r="I57" s="9">
        <v>834</v>
      </c>
      <c r="J57" s="9">
        <f t="shared" si="6"/>
        <v>594.4799999999996</v>
      </c>
      <c r="K57" s="9">
        <f t="shared" si="7"/>
        <v>-2567.8600000000006</v>
      </c>
      <c r="L57" s="9">
        <f t="shared" si="8"/>
        <v>-26666.059999999998</v>
      </c>
      <c r="M57" s="9">
        <f t="shared" si="11"/>
        <v>-3666</v>
      </c>
      <c r="N57" s="44">
        <f t="shared" si="24"/>
        <v>1.02198710983125</v>
      </c>
      <c r="O57" s="44">
        <f t="shared" si="19"/>
        <v>0.9149715231788079</v>
      </c>
      <c r="P57" s="44">
        <f t="shared" si="20"/>
        <v>0.5088960591695489</v>
      </c>
      <c r="Q57" s="80">
        <f t="shared" si="21"/>
        <v>0</v>
      </c>
      <c r="R57" s="80">
        <f t="shared" si="22"/>
        <v>0</v>
      </c>
      <c r="S57" s="11">
        <v>27485.59</v>
      </c>
      <c r="T57" s="11">
        <v>687.45</v>
      </c>
      <c r="U57" s="11">
        <v>146.55</v>
      </c>
      <c r="V57" s="12">
        <f t="shared" si="14"/>
        <v>27632.14</v>
      </c>
      <c r="W57" s="12">
        <f t="shared" si="15"/>
        <v>834</v>
      </c>
      <c r="X57" s="2"/>
    </row>
    <row r="58" spans="1:24" ht="15.75">
      <c r="A58" s="163"/>
      <c r="B58" s="163"/>
      <c r="C58" s="13" t="s">
        <v>55</v>
      </c>
      <c r="D58" s="9">
        <v>3553.5</v>
      </c>
      <c r="E58" s="117">
        <v>0</v>
      </c>
      <c r="F58" s="117">
        <v>0</v>
      </c>
      <c r="G58" s="117">
        <v>0</v>
      </c>
      <c r="H58" s="9">
        <v>3644.32</v>
      </c>
      <c r="I58" s="9">
        <v>37.13</v>
      </c>
      <c r="J58" s="9">
        <f t="shared" si="6"/>
        <v>90.82000000000016</v>
      </c>
      <c r="K58" s="9">
        <f t="shared" si="7"/>
        <v>3644.32</v>
      </c>
      <c r="L58" s="9">
        <f t="shared" si="8"/>
        <v>3644.32</v>
      </c>
      <c r="M58" s="9">
        <f t="shared" si="11"/>
        <v>37.13</v>
      </c>
      <c r="N58" s="44">
        <f t="shared" si="24"/>
        <v>1.0255579006613198</v>
      </c>
      <c r="O58" s="44">
        <f t="shared" si="19"/>
      </c>
      <c r="P58" s="44">
        <f t="shared" si="20"/>
      </c>
      <c r="Q58" s="80">
        <f t="shared" si="21"/>
        <v>0</v>
      </c>
      <c r="R58" s="80">
        <f t="shared" si="22"/>
        <v>0</v>
      </c>
      <c r="S58" s="11">
        <v>3644.32</v>
      </c>
      <c r="T58" s="11">
        <v>37.13</v>
      </c>
      <c r="U58" s="11"/>
      <c r="V58" s="12">
        <f t="shared" si="14"/>
        <v>3644.32</v>
      </c>
      <c r="W58" s="12">
        <f t="shared" si="15"/>
        <v>37.13</v>
      </c>
      <c r="X58" s="2"/>
    </row>
    <row r="59" spans="1:24" ht="15.75" hidden="1">
      <c r="A59" s="163"/>
      <c r="B59" s="163"/>
      <c r="C59" s="101" t="s">
        <v>56</v>
      </c>
      <c r="D59" s="9">
        <v>0</v>
      </c>
      <c r="E59" s="93">
        <v>0</v>
      </c>
      <c r="F59" s="93">
        <v>0</v>
      </c>
      <c r="G59" s="93">
        <v>0</v>
      </c>
      <c r="H59" s="9">
        <v>0</v>
      </c>
      <c r="I59" s="9">
        <v>0</v>
      </c>
      <c r="J59" s="5">
        <f t="shared" si="6"/>
        <v>0</v>
      </c>
      <c r="K59" s="5">
        <f t="shared" si="7"/>
        <v>0</v>
      </c>
      <c r="L59" s="5">
        <f t="shared" si="8"/>
        <v>0</v>
      </c>
      <c r="M59" s="5">
        <f t="shared" si="11"/>
        <v>0</v>
      </c>
      <c r="N59" s="44">
        <f t="shared" si="24"/>
      </c>
      <c r="O59" s="44">
        <f t="shared" si="19"/>
      </c>
      <c r="P59" s="44">
        <f t="shared" si="20"/>
      </c>
      <c r="Q59" s="80">
        <f t="shared" si="21"/>
        <v>0</v>
      </c>
      <c r="R59" s="80">
        <f t="shared" si="22"/>
        <v>0</v>
      </c>
      <c r="S59" s="11"/>
      <c r="T59" s="11"/>
      <c r="U59" s="11"/>
      <c r="V59" s="12">
        <f t="shared" si="14"/>
        <v>0</v>
      </c>
      <c r="W59" s="12">
        <f t="shared" si="15"/>
        <v>0</v>
      </c>
      <c r="X59" s="2">
        <v>1</v>
      </c>
    </row>
    <row r="60" spans="1:24" ht="15.75">
      <c r="A60" s="163"/>
      <c r="B60" s="163"/>
      <c r="C60" s="58" t="s">
        <v>10</v>
      </c>
      <c r="D60" s="35">
        <f aca="true" t="shared" si="26" ref="D60:I60">SUM(D57:D59)</f>
        <v>30591.16</v>
      </c>
      <c r="E60" s="119">
        <f t="shared" si="26"/>
        <v>54298.2</v>
      </c>
      <c r="F60" s="119">
        <f t="shared" si="26"/>
        <v>30200</v>
      </c>
      <c r="G60" s="119">
        <f t="shared" si="26"/>
        <v>4500</v>
      </c>
      <c r="H60" s="119">
        <f t="shared" si="26"/>
        <v>31276.46</v>
      </c>
      <c r="I60" s="119">
        <f t="shared" si="26"/>
        <v>871.13</v>
      </c>
      <c r="J60" s="35">
        <f t="shared" si="6"/>
        <v>685.2999999999993</v>
      </c>
      <c r="K60" s="35">
        <f t="shared" si="7"/>
        <v>1076.4599999999991</v>
      </c>
      <c r="L60" s="35">
        <f t="shared" si="8"/>
        <v>-23021.739999999998</v>
      </c>
      <c r="M60" s="35">
        <f t="shared" si="11"/>
        <v>-3628.87</v>
      </c>
      <c r="N60" s="57">
        <f t="shared" si="24"/>
        <v>1.022401896495589</v>
      </c>
      <c r="O60" s="44">
        <f t="shared" si="19"/>
        <v>1.035644370860927</v>
      </c>
      <c r="P60" s="57">
        <f t="shared" si="20"/>
        <v>0.5760128328379209</v>
      </c>
      <c r="Q60" s="81">
        <f t="shared" si="21"/>
        <v>0</v>
      </c>
      <c r="R60" s="81">
        <f t="shared" si="22"/>
        <v>0</v>
      </c>
      <c r="S60" s="56">
        <f>SUM(S57:S59)</f>
        <v>31129.91</v>
      </c>
      <c r="T60" s="56">
        <f>SUM(T57:T59)</f>
        <v>724.58</v>
      </c>
      <c r="U60" s="56">
        <f>SUM(U57:U59)</f>
        <v>146.55</v>
      </c>
      <c r="V60" s="12">
        <f t="shared" si="14"/>
        <v>31276.46</v>
      </c>
      <c r="W60" s="12">
        <f t="shared" si="15"/>
        <v>871.1300000000001</v>
      </c>
      <c r="X60" s="7"/>
    </row>
    <row r="61" spans="1:24" ht="15.75">
      <c r="A61" s="162" t="s">
        <v>57</v>
      </c>
      <c r="B61" s="148" t="s">
        <v>58</v>
      </c>
      <c r="C61" s="13" t="s">
        <v>59</v>
      </c>
      <c r="D61" s="9">
        <v>1661.2999999999995</v>
      </c>
      <c r="E61" s="117">
        <v>7767.5</v>
      </c>
      <c r="F61" s="117">
        <v>5456.4</v>
      </c>
      <c r="G61" s="117">
        <v>1561.4</v>
      </c>
      <c r="H61" s="9">
        <v>6884.66</v>
      </c>
      <c r="I61" s="9">
        <v>95.04</v>
      </c>
      <c r="J61" s="9">
        <f t="shared" si="6"/>
        <v>5223.360000000001</v>
      </c>
      <c r="K61" s="9">
        <f t="shared" si="7"/>
        <v>1428.2600000000002</v>
      </c>
      <c r="L61" s="9">
        <f t="shared" si="8"/>
        <v>-882.8400000000001</v>
      </c>
      <c r="M61" s="9">
        <f t="shared" si="11"/>
        <v>-1466.3600000000001</v>
      </c>
      <c r="N61" s="44">
        <f t="shared" si="24"/>
        <v>4.144140131222538</v>
      </c>
      <c r="O61" s="44">
        <f t="shared" si="19"/>
        <v>1.261758668719302</v>
      </c>
      <c r="P61" s="44">
        <f t="shared" si="20"/>
        <v>0.8863418088187962</v>
      </c>
      <c r="Q61" s="80">
        <f t="shared" si="21"/>
        <v>0</v>
      </c>
      <c r="R61" s="80">
        <f t="shared" si="22"/>
        <v>0</v>
      </c>
      <c r="S61" s="12">
        <v>6857.18</v>
      </c>
      <c r="T61" s="12">
        <v>67.56</v>
      </c>
      <c r="U61" s="12">
        <v>27.48</v>
      </c>
      <c r="V61" s="12">
        <f t="shared" si="14"/>
        <v>6884.66</v>
      </c>
      <c r="W61" s="12">
        <f t="shared" si="15"/>
        <v>95.04</v>
      </c>
      <c r="X61" s="2"/>
    </row>
    <row r="62" spans="1:24" ht="15.75">
      <c r="A62" s="162"/>
      <c r="B62" s="148"/>
      <c r="C62" s="58" t="s">
        <v>10</v>
      </c>
      <c r="D62" s="35">
        <f aca="true" t="shared" si="27" ref="D62:J62">D61</f>
        <v>1661.2999999999995</v>
      </c>
      <c r="E62" s="119">
        <f t="shared" si="27"/>
        <v>7767.5</v>
      </c>
      <c r="F62" s="119">
        <f t="shared" si="27"/>
        <v>5456.4</v>
      </c>
      <c r="G62" s="119">
        <f t="shared" si="27"/>
        <v>1561.4</v>
      </c>
      <c r="H62" s="119">
        <f t="shared" si="27"/>
        <v>6884.66</v>
      </c>
      <c r="I62" s="119">
        <f t="shared" si="27"/>
        <v>95.04</v>
      </c>
      <c r="J62" s="59">
        <f t="shared" si="27"/>
        <v>5223.360000000001</v>
      </c>
      <c r="K62" s="59">
        <f t="shared" si="7"/>
        <v>1428.2600000000002</v>
      </c>
      <c r="L62" s="59">
        <f t="shared" si="8"/>
        <v>-882.8400000000001</v>
      </c>
      <c r="M62" s="59">
        <f t="shared" si="11"/>
        <v>-1466.3600000000001</v>
      </c>
      <c r="N62" s="57">
        <f t="shared" si="24"/>
        <v>4.144140131222538</v>
      </c>
      <c r="O62" s="57">
        <f t="shared" si="19"/>
        <v>1.261758668719302</v>
      </c>
      <c r="P62" s="57">
        <f t="shared" si="20"/>
        <v>0.8863418088187962</v>
      </c>
      <c r="Q62" s="81">
        <f t="shared" si="21"/>
        <v>0</v>
      </c>
      <c r="R62" s="81">
        <f t="shared" si="22"/>
        <v>0</v>
      </c>
      <c r="S62" s="60">
        <f>SUM(S61)</f>
        <v>6857.18</v>
      </c>
      <c r="T62" s="60">
        <f>SUM(T61)</f>
        <v>67.56</v>
      </c>
      <c r="U62" s="60">
        <f>SUM(U61)</f>
        <v>27.48</v>
      </c>
      <c r="V62" s="12">
        <f t="shared" si="14"/>
        <v>6884.66</v>
      </c>
      <c r="W62" s="12">
        <f t="shared" si="15"/>
        <v>95.04</v>
      </c>
      <c r="X62" s="7"/>
    </row>
    <row r="63" spans="1:24" ht="15.75" hidden="1">
      <c r="A63" s="155" t="s">
        <v>60</v>
      </c>
      <c r="B63" s="158" t="s">
        <v>61</v>
      </c>
      <c r="C63" s="88" t="s">
        <v>56</v>
      </c>
      <c r="D63" s="5"/>
      <c r="E63" s="117"/>
      <c r="F63" s="117"/>
      <c r="G63" s="117"/>
      <c r="H63" s="9">
        <v>0</v>
      </c>
      <c r="I63" s="9">
        <v>0</v>
      </c>
      <c r="J63" s="9">
        <f aca="true" t="shared" si="28" ref="J63:J87">H63-D63</f>
        <v>0</v>
      </c>
      <c r="K63" s="9">
        <f t="shared" si="7"/>
        <v>0</v>
      </c>
      <c r="L63" s="9">
        <f t="shared" si="8"/>
        <v>0</v>
      </c>
      <c r="M63" s="9">
        <f t="shared" si="11"/>
        <v>0</v>
      </c>
      <c r="N63" s="44">
        <f t="shared" si="24"/>
      </c>
      <c r="O63" s="44">
        <f t="shared" si="19"/>
      </c>
      <c r="P63" s="44">
        <f t="shared" si="20"/>
      </c>
      <c r="Q63" s="80">
        <f t="shared" si="21"/>
        <v>0</v>
      </c>
      <c r="R63" s="80">
        <f t="shared" si="22"/>
        <v>0</v>
      </c>
      <c r="S63" s="10"/>
      <c r="T63" s="10">
        <v>0</v>
      </c>
      <c r="U63" s="10"/>
      <c r="V63" s="12">
        <f t="shared" si="14"/>
        <v>0</v>
      </c>
      <c r="W63" s="12">
        <f t="shared" si="15"/>
        <v>0</v>
      </c>
      <c r="X63" s="2">
        <v>1</v>
      </c>
    </row>
    <row r="64" spans="1:24" ht="15.75" hidden="1">
      <c r="A64" s="157"/>
      <c r="B64" s="160"/>
      <c r="C64" s="89" t="s">
        <v>10</v>
      </c>
      <c r="D64" s="35">
        <v>0</v>
      </c>
      <c r="E64" s="126">
        <f>E63</f>
        <v>0</v>
      </c>
      <c r="F64" s="126">
        <f>G64</f>
        <v>0</v>
      </c>
      <c r="G64" s="126">
        <f>G63</f>
        <v>0</v>
      </c>
      <c r="H64" s="109">
        <v>0</v>
      </c>
      <c r="I64" s="109">
        <v>0</v>
      </c>
      <c r="J64" s="59">
        <f t="shared" si="28"/>
        <v>0</v>
      </c>
      <c r="K64" s="59">
        <f t="shared" si="7"/>
        <v>0</v>
      </c>
      <c r="L64" s="59">
        <f t="shared" si="8"/>
        <v>0</v>
      </c>
      <c r="M64" s="59">
        <f t="shared" si="11"/>
        <v>0</v>
      </c>
      <c r="N64" s="44">
        <f t="shared" si="24"/>
      </c>
      <c r="O64" s="44">
        <f t="shared" si="19"/>
      </c>
      <c r="P64" s="44">
        <f t="shared" si="20"/>
      </c>
      <c r="Q64" s="80">
        <f t="shared" si="21"/>
        <v>0</v>
      </c>
      <c r="R64" s="80">
        <f t="shared" si="22"/>
        <v>0</v>
      </c>
      <c r="S64" s="68">
        <v>0</v>
      </c>
      <c r="T64" s="68">
        <v>0</v>
      </c>
      <c r="U64" s="60"/>
      <c r="V64" s="12">
        <f t="shared" si="14"/>
        <v>0</v>
      </c>
      <c r="W64" s="12">
        <f t="shared" si="15"/>
        <v>0</v>
      </c>
      <c r="X64" s="7">
        <v>1</v>
      </c>
    </row>
    <row r="65" spans="1:24" ht="15.75">
      <c r="A65" s="148"/>
      <c r="B65" s="148" t="s">
        <v>62</v>
      </c>
      <c r="C65" s="17" t="s">
        <v>63</v>
      </c>
      <c r="D65" s="9">
        <v>560.3299999999999</v>
      </c>
      <c r="E65" s="117">
        <v>41.2</v>
      </c>
      <c r="F65" s="117">
        <v>41.2</v>
      </c>
      <c r="G65" s="117">
        <v>0</v>
      </c>
      <c r="H65" s="107">
        <v>123.68</v>
      </c>
      <c r="I65" s="107">
        <v>0</v>
      </c>
      <c r="J65" s="9">
        <f t="shared" si="28"/>
        <v>-436.6499999999999</v>
      </c>
      <c r="K65" s="9">
        <f t="shared" si="7"/>
        <v>82.48</v>
      </c>
      <c r="L65" s="9">
        <f t="shared" si="8"/>
        <v>82.48</v>
      </c>
      <c r="M65" s="9">
        <f t="shared" si="11"/>
        <v>0</v>
      </c>
      <c r="N65" s="44">
        <f t="shared" si="24"/>
        <v>0.22072707154712407</v>
      </c>
      <c r="O65" s="44">
        <f t="shared" si="19"/>
        <v>3.0019417475728156</v>
      </c>
      <c r="P65" s="44">
        <f t="shared" si="20"/>
        <v>3.0019417475728156</v>
      </c>
      <c r="Q65" s="80">
        <f t="shared" si="21"/>
        <v>0</v>
      </c>
      <c r="R65" s="80">
        <f t="shared" si="22"/>
        <v>0</v>
      </c>
      <c r="S65" s="12">
        <v>123.68</v>
      </c>
      <c r="T65" s="12"/>
      <c r="U65" s="12"/>
      <c r="V65" s="12">
        <f t="shared" si="14"/>
        <v>123.68</v>
      </c>
      <c r="W65" s="12">
        <f t="shared" si="15"/>
        <v>0</v>
      </c>
      <c r="X65" s="2"/>
    </row>
    <row r="66" spans="1:24" ht="15.75">
      <c r="A66" s="148"/>
      <c r="B66" s="148"/>
      <c r="C66" s="13" t="s">
        <v>103</v>
      </c>
      <c r="D66" s="9">
        <v>68.25</v>
      </c>
      <c r="E66" s="127">
        <v>47.1</v>
      </c>
      <c r="F66" s="127">
        <v>47.1</v>
      </c>
      <c r="G66" s="127">
        <v>0</v>
      </c>
      <c r="H66" s="9">
        <v>272.04</v>
      </c>
      <c r="I66" s="9">
        <v>0</v>
      </c>
      <c r="J66" s="9">
        <f t="shared" si="28"/>
        <v>203.79000000000002</v>
      </c>
      <c r="K66" s="9">
        <f t="shared" si="7"/>
        <v>224.94000000000003</v>
      </c>
      <c r="L66" s="9">
        <f t="shared" si="8"/>
        <v>224.94000000000003</v>
      </c>
      <c r="M66" s="9">
        <f t="shared" si="11"/>
        <v>0</v>
      </c>
      <c r="N66" s="44">
        <f t="shared" si="24"/>
        <v>3.985934065934066</v>
      </c>
      <c r="O66" s="44">
        <f t="shared" si="19"/>
        <v>5.775796178343949</v>
      </c>
      <c r="P66" s="44">
        <f t="shared" si="20"/>
        <v>5.775796178343949</v>
      </c>
      <c r="Q66" s="80">
        <f t="shared" si="21"/>
        <v>0</v>
      </c>
      <c r="R66" s="80">
        <f t="shared" si="22"/>
        <v>0</v>
      </c>
      <c r="S66" s="12">
        <v>272.04</v>
      </c>
      <c r="T66" s="12"/>
      <c r="U66" s="12"/>
      <c r="V66" s="12">
        <f t="shared" si="14"/>
        <v>272.04</v>
      </c>
      <c r="W66" s="12">
        <f t="shared" si="15"/>
        <v>0</v>
      </c>
      <c r="X66" s="2"/>
    </row>
    <row r="67" spans="1:24" ht="15.75">
      <c r="A67" s="148"/>
      <c r="B67" s="148"/>
      <c r="C67" s="13" t="s">
        <v>29</v>
      </c>
      <c r="D67" s="9">
        <v>9531</v>
      </c>
      <c r="E67" s="117">
        <v>7387.5</v>
      </c>
      <c r="F67" s="117">
        <v>7387.5</v>
      </c>
      <c r="G67" s="117">
        <v>0</v>
      </c>
      <c r="H67" s="9">
        <v>7387.5</v>
      </c>
      <c r="I67" s="9">
        <v>0</v>
      </c>
      <c r="J67" s="9">
        <f t="shared" si="28"/>
        <v>-2143.5</v>
      </c>
      <c r="K67" s="9">
        <f t="shared" si="7"/>
        <v>0</v>
      </c>
      <c r="L67" s="9">
        <f t="shared" si="8"/>
        <v>0</v>
      </c>
      <c r="M67" s="9">
        <f t="shared" si="11"/>
        <v>0</v>
      </c>
      <c r="N67" s="44">
        <f t="shared" si="24"/>
        <v>0.7751022977651872</v>
      </c>
      <c r="O67" s="44">
        <f t="shared" si="19"/>
        <v>1</v>
      </c>
      <c r="P67" s="44">
        <f t="shared" si="20"/>
        <v>1</v>
      </c>
      <c r="Q67" s="80">
        <f t="shared" si="21"/>
        <v>0</v>
      </c>
      <c r="R67" s="80">
        <f t="shared" si="22"/>
        <v>0</v>
      </c>
      <c r="S67" s="12">
        <v>7387.5</v>
      </c>
      <c r="T67" s="12"/>
      <c r="U67" s="12"/>
      <c r="V67" s="12">
        <f t="shared" si="14"/>
        <v>7387.5</v>
      </c>
      <c r="W67" s="12">
        <f t="shared" si="15"/>
        <v>0</v>
      </c>
      <c r="X67" s="2"/>
    </row>
    <row r="68" spans="1:24" ht="31.5">
      <c r="A68" s="148"/>
      <c r="B68" s="148"/>
      <c r="C68" s="13" t="s">
        <v>50</v>
      </c>
      <c r="D68" s="9">
        <v>7285.6700000001865</v>
      </c>
      <c r="E68" s="93">
        <v>680.5</v>
      </c>
      <c r="F68" s="93">
        <v>380</v>
      </c>
      <c r="G68" s="93">
        <v>40</v>
      </c>
      <c r="H68" s="9">
        <v>64810.059999999066</v>
      </c>
      <c r="I68" s="9">
        <v>32116.690000000002</v>
      </c>
      <c r="J68" s="5">
        <f t="shared" si="28"/>
        <v>57524.38999999888</v>
      </c>
      <c r="K68" s="5">
        <f t="shared" si="7"/>
        <v>64430.059999999066</v>
      </c>
      <c r="L68" s="5">
        <f t="shared" si="8"/>
        <v>64129.559999999066</v>
      </c>
      <c r="M68" s="5">
        <f t="shared" si="11"/>
        <v>32076.690000000002</v>
      </c>
      <c r="N68" s="44">
        <f t="shared" si="24"/>
        <v>8.8955525023776</v>
      </c>
      <c r="O68" s="44">
        <f t="shared" si="19"/>
        <v>170.55278947368174</v>
      </c>
      <c r="P68" s="44">
        <f t="shared" si="20"/>
        <v>95.2388831741353</v>
      </c>
      <c r="Q68" s="80">
        <f t="shared" si="21"/>
        <v>0</v>
      </c>
      <c r="R68" s="80">
        <f t="shared" si="22"/>
        <v>0</v>
      </c>
      <c r="S68" s="11">
        <v>52581.559999999066</v>
      </c>
      <c r="T68" s="11">
        <v>19888.190000000002</v>
      </c>
      <c r="U68" s="137">
        <v>12228.5</v>
      </c>
      <c r="V68" s="12">
        <f t="shared" si="14"/>
        <v>64810.059999999066</v>
      </c>
      <c r="W68" s="12">
        <f t="shared" si="15"/>
        <v>32116.690000000002</v>
      </c>
      <c r="X68" s="2"/>
    </row>
    <row r="69" spans="1:24" ht="15.75">
      <c r="A69" s="148"/>
      <c r="B69" s="148"/>
      <c r="C69" s="13" t="s">
        <v>52</v>
      </c>
      <c r="D69" s="5">
        <v>47240.32000000002</v>
      </c>
      <c r="E69" s="93">
        <v>81594.89999999997</v>
      </c>
      <c r="F69" s="93">
        <v>43961.4</v>
      </c>
      <c r="G69" s="93">
        <v>6793</v>
      </c>
      <c r="H69" s="9">
        <v>54250.85999999999</v>
      </c>
      <c r="I69" s="9">
        <v>4316.030000000001</v>
      </c>
      <c r="J69" s="5">
        <f t="shared" si="28"/>
        <v>7010.539999999972</v>
      </c>
      <c r="K69" s="5">
        <f t="shared" si="7"/>
        <v>10289.459999999992</v>
      </c>
      <c r="L69" s="5">
        <f t="shared" si="8"/>
        <v>-27344.03999999997</v>
      </c>
      <c r="M69" s="5">
        <f t="shared" si="11"/>
        <v>-2476.9699999999993</v>
      </c>
      <c r="N69" s="44">
        <f t="shared" si="24"/>
        <v>1.1484016196333973</v>
      </c>
      <c r="O69" s="44">
        <f t="shared" si="19"/>
        <v>1.2340566951916907</v>
      </c>
      <c r="P69" s="44">
        <f t="shared" si="20"/>
        <v>0.6648805256210868</v>
      </c>
      <c r="Q69" s="80">
        <f t="shared" si="21"/>
        <v>0</v>
      </c>
      <c r="R69" s="80">
        <f t="shared" si="22"/>
        <v>0</v>
      </c>
      <c r="S69" s="6">
        <v>53962.259999999995</v>
      </c>
      <c r="T69" s="6">
        <v>4027.4300000000003</v>
      </c>
      <c r="U69" s="133">
        <v>288.6</v>
      </c>
      <c r="V69" s="12">
        <f t="shared" si="14"/>
        <v>54250.85999999999</v>
      </c>
      <c r="W69" s="12">
        <f t="shared" si="15"/>
        <v>4316.030000000001</v>
      </c>
      <c r="X69" s="2"/>
    </row>
    <row r="70" spans="1:24" ht="15.75">
      <c r="A70" s="148"/>
      <c r="B70" s="148"/>
      <c r="C70" s="13" t="s">
        <v>64</v>
      </c>
      <c r="D70" s="5">
        <v>183.01</v>
      </c>
      <c r="E70" s="93">
        <v>0</v>
      </c>
      <c r="F70" s="93">
        <v>0</v>
      </c>
      <c r="G70" s="93">
        <v>0</v>
      </c>
      <c r="H70" s="9">
        <f>-4570.47+2.79</f>
        <v>-4567.68</v>
      </c>
      <c r="I70" s="9">
        <f>463.15+2.79</f>
        <v>465.94</v>
      </c>
      <c r="J70" s="5">
        <f t="shared" si="28"/>
        <v>-4750.6900000000005</v>
      </c>
      <c r="K70" s="5">
        <f t="shared" si="7"/>
        <v>-4567.68</v>
      </c>
      <c r="L70" s="5">
        <f t="shared" si="8"/>
        <v>-4567.68</v>
      </c>
      <c r="M70" s="5">
        <f t="shared" si="11"/>
        <v>465.94</v>
      </c>
      <c r="N70" s="44">
        <f t="shared" si="24"/>
        <v>-24.958636140101635</v>
      </c>
      <c r="O70" s="44">
        <f aca="true" t="shared" si="29" ref="O70:O87">_xlfn.IFERROR(H70/F70,"")</f>
      </c>
      <c r="P70" s="44">
        <f aca="true" t="shared" si="30" ref="P70:P87">_xlfn.IFERROR(H70/E70,"")</f>
      </c>
      <c r="Q70" s="80">
        <f aca="true" t="shared" si="31" ref="Q70:Q82">V70-H70</f>
        <v>-2.790000000000873</v>
      </c>
      <c r="R70" s="80">
        <f aca="true" t="shared" si="32" ref="R70:R82">W70-I70</f>
        <v>-2.7899999999999636</v>
      </c>
      <c r="S70" s="6">
        <v>-4571.310000000001</v>
      </c>
      <c r="T70" s="6">
        <v>462.31000000000006</v>
      </c>
      <c r="U70" s="133">
        <v>0.84</v>
      </c>
      <c r="V70" s="12">
        <f t="shared" si="14"/>
        <v>-4570.470000000001</v>
      </c>
      <c r="W70" s="12">
        <f t="shared" si="15"/>
        <v>463.15000000000003</v>
      </c>
      <c r="X70" s="2"/>
    </row>
    <row r="71" spans="1:24" ht="15.75">
      <c r="A71" s="148"/>
      <c r="B71" s="148"/>
      <c r="C71" s="13" t="s">
        <v>41</v>
      </c>
      <c r="D71" s="5">
        <f>11861.81+55.35</f>
        <v>11917.16</v>
      </c>
      <c r="E71" s="93">
        <v>16333.1</v>
      </c>
      <c r="F71" s="93">
        <v>5950</v>
      </c>
      <c r="G71" s="93">
        <v>2000</v>
      </c>
      <c r="H71" s="9">
        <v>47001.04</v>
      </c>
      <c r="I71" s="9">
        <v>5661.7699999999995</v>
      </c>
      <c r="J71" s="5">
        <f t="shared" si="28"/>
        <v>35083.880000000005</v>
      </c>
      <c r="K71" s="5">
        <f aca="true" t="shared" si="33" ref="K71:K87">H71-F71</f>
        <v>41051.04</v>
      </c>
      <c r="L71" s="5">
        <f aca="true" t="shared" si="34" ref="L71:L87">H71-E71</f>
        <v>30667.940000000002</v>
      </c>
      <c r="M71" s="5">
        <f aca="true" t="shared" si="35" ref="M71:M86">I71-G71</f>
        <v>3661.7699999999995</v>
      </c>
      <c r="N71" s="44">
        <f t="shared" si="24"/>
        <v>3.9439799415296934</v>
      </c>
      <c r="O71" s="44">
        <f t="shared" si="29"/>
        <v>7.899334453781512</v>
      </c>
      <c r="P71" s="44">
        <f t="shared" si="30"/>
        <v>2.877655803246169</v>
      </c>
      <c r="Q71" s="80">
        <f t="shared" si="31"/>
        <v>0</v>
      </c>
      <c r="R71" s="80">
        <f t="shared" si="32"/>
        <v>0</v>
      </c>
      <c r="S71" s="6">
        <f>39727.35+7008.04</f>
        <v>46735.39</v>
      </c>
      <c r="T71" s="6">
        <f>957.17+4438.95</f>
        <v>5396.12</v>
      </c>
      <c r="U71" s="133">
        <f>59.09+206.56</f>
        <v>265.65</v>
      </c>
      <c r="V71" s="12">
        <f t="shared" si="14"/>
        <v>47001.04</v>
      </c>
      <c r="W71" s="12">
        <f t="shared" si="15"/>
        <v>5661.7699999999995</v>
      </c>
      <c r="X71" s="2"/>
    </row>
    <row r="72" spans="1:24" ht="15.75">
      <c r="A72" s="148"/>
      <c r="B72" s="148"/>
      <c r="C72" s="13" t="s">
        <v>106</v>
      </c>
      <c r="D72" s="5">
        <v>2146.93</v>
      </c>
      <c r="E72" s="93">
        <v>0</v>
      </c>
      <c r="F72" s="93">
        <f>G72</f>
        <v>0</v>
      </c>
      <c r="G72" s="93">
        <v>0</v>
      </c>
      <c r="H72" s="9">
        <v>795.93</v>
      </c>
      <c r="I72" s="9">
        <v>0</v>
      </c>
      <c r="J72" s="5">
        <f t="shared" si="28"/>
        <v>-1351</v>
      </c>
      <c r="K72" s="5">
        <f t="shared" si="33"/>
        <v>795.93</v>
      </c>
      <c r="L72" s="5">
        <f t="shared" si="34"/>
        <v>795.93</v>
      </c>
      <c r="M72" s="5">
        <f t="shared" si="35"/>
        <v>0</v>
      </c>
      <c r="N72" s="44">
        <f t="shared" si="24"/>
        <v>0.3707293670496942</v>
      </c>
      <c r="O72" s="44">
        <f t="shared" si="29"/>
      </c>
      <c r="P72" s="44">
        <f t="shared" si="30"/>
      </c>
      <c r="Q72" s="80">
        <f t="shared" si="31"/>
        <v>0</v>
      </c>
      <c r="R72" s="80">
        <f t="shared" si="32"/>
        <v>0</v>
      </c>
      <c r="S72" s="6">
        <v>795.93</v>
      </c>
      <c r="T72" s="6"/>
      <c r="U72" s="138"/>
      <c r="V72" s="12">
        <f t="shared" si="14"/>
        <v>795.93</v>
      </c>
      <c r="W72" s="12">
        <f t="shared" si="15"/>
        <v>0</v>
      </c>
      <c r="X72" s="2"/>
    </row>
    <row r="73" spans="1:24" ht="15.75">
      <c r="A73" s="148"/>
      <c r="B73" s="148"/>
      <c r="C73" s="58" t="s">
        <v>65</v>
      </c>
      <c r="D73" s="35">
        <f aca="true" t="shared" si="36" ref="D73:I73">SUM(D65:D72)</f>
        <v>78932.6700000002</v>
      </c>
      <c r="E73" s="119">
        <f t="shared" si="36"/>
        <v>106084.29999999997</v>
      </c>
      <c r="F73" s="119">
        <f t="shared" si="36"/>
        <v>57767.200000000004</v>
      </c>
      <c r="G73" s="119">
        <f t="shared" si="36"/>
        <v>8833</v>
      </c>
      <c r="H73" s="119">
        <f t="shared" si="36"/>
        <v>170073.42999999906</v>
      </c>
      <c r="I73" s="119">
        <f t="shared" si="36"/>
        <v>42560.43</v>
      </c>
      <c r="J73" s="59">
        <f t="shared" si="28"/>
        <v>91140.75999999886</v>
      </c>
      <c r="K73" s="59">
        <f t="shared" si="33"/>
        <v>112306.22999999905</v>
      </c>
      <c r="L73" s="59">
        <f t="shared" si="34"/>
        <v>63989.12999999909</v>
      </c>
      <c r="M73" s="59">
        <f t="shared" si="35"/>
        <v>33727.43</v>
      </c>
      <c r="N73" s="57">
        <f t="shared" si="24"/>
        <v>2.1546646021222724</v>
      </c>
      <c r="O73" s="57">
        <f t="shared" si="29"/>
        <v>2.9441175961445083</v>
      </c>
      <c r="P73" s="57">
        <f t="shared" si="30"/>
        <v>1.6031913299140317</v>
      </c>
      <c r="Q73" s="81">
        <f t="shared" si="31"/>
        <v>-2.790000000008149</v>
      </c>
      <c r="R73" s="81">
        <f t="shared" si="32"/>
        <v>-2.790000000000873</v>
      </c>
      <c r="S73" s="60">
        <f>SUM(S65:S72)</f>
        <v>157287.04999999906</v>
      </c>
      <c r="T73" s="60">
        <f>SUM(T65:T72)</f>
        <v>29774.050000000003</v>
      </c>
      <c r="U73" s="60">
        <f>SUM(U65:U72)</f>
        <v>12783.59</v>
      </c>
      <c r="V73" s="12">
        <f t="shared" si="14"/>
        <v>170070.63999999905</v>
      </c>
      <c r="W73" s="12">
        <f t="shared" si="15"/>
        <v>42557.64</v>
      </c>
      <c r="X73" s="7"/>
    </row>
    <row r="74" spans="1:27" ht="25.5" customHeight="1">
      <c r="A74" s="183" t="s">
        <v>66</v>
      </c>
      <c r="B74" s="183"/>
      <c r="C74" s="183"/>
      <c r="D74" s="63">
        <f aca="true" t="shared" si="37" ref="D74:I74">D5+D22</f>
        <v>10275305.459999999</v>
      </c>
      <c r="E74" s="128">
        <f t="shared" si="37"/>
        <v>26570797.880000003</v>
      </c>
      <c r="F74" s="128">
        <f t="shared" si="37"/>
        <v>11449116.709999999</v>
      </c>
      <c r="G74" s="128">
        <f t="shared" si="37"/>
        <v>568474.1</v>
      </c>
      <c r="H74" s="128">
        <f t="shared" si="37"/>
        <v>10910603.179999998</v>
      </c>
      <c r="I74" s="128">
        <f t="shared" si="37"/>
        <v>193759.33000000002</v>
      </c>
      <c r="J74" s="46">
        <f t="shared" si="28"/>
        <v>635297.7199999988</v>
      </c>
      <c r="K74" s="46">
        <f t="shared" si="33"/>
        <v>-538513.5300000012</v>
      </c>
      <c r="L74" s="46">
        <f t="shared" si="34"/>
        <v>-15660194.700000005</v>
      </c>
      <c r="M74" s="46">
        <f t="shared" si="35"/>
        <v>-374714.76999999996</v>
      </c>
      <c r="N74" s="64">
        <f t="shared" si="24"/>
        <v>1.0618276237600044</v>
      </c>
      <c r="O74" s="64">
        <f t="shared" si="29"/>
        <v>0.9529646221939857</v>
      </c>
      <c r="P74" s="64">
        <f t="shared" si="30"/>
        <v>0.41062384461599</v>
      </c>
      <c r="Q74" s="81">
        <f t="shared" si="31"/>
        <v>-2.7900000009685755</v>
      </c>
      <c r="R74" s="81">
        <f t="shared" si="32"/>
        <v>-2.790000000008149</v>
      </c>
      <c r="S74" s="42">
        <f>S5+S22</f>
        <v>10878758.639999997</v>
      </c>
      <c r="T74" s="42">
        <f>T5+T22</f>
        <v>161914.79</v>
      </c>
      <c r="U74" s="42">
        <f>U5+U22</f>
        <v>31841.749999999996</v>
      </c>
      <c r="V74" s="42">
        <f>S74+U74</f>
        <v>10910600.389999997</v>
      </c>
      <c r="W74" s="42">
        <f aca="true" t="shared" si="38" ref="W74:W85">T74+U74</f>
        <v>193756.54</v>
      </c>
      <c r="X74" s="49"/>
      <c r="Z74" s="69"/>
      <c r="AA74" s="76"/>
    </row>
    <row r="75" spans="1:24" ht="15.75" hidden="1">
      <c r="A75" s="184" t="s">
        <v>82</v>
      </c>
      <c r="B75" s="185"/>
      <c r="C75" s="186"/>
      <c r="D75" s="63">
        <v>3770698.64</v>
      </c>
      <c r="E75" s="128">
        <f>E74-E54-E52-E53</f>
        <v>21688207.700000003</v>
      </c>
      <c r="F75" s="128">
        <f>G75</f>
        <v>199704.89999999997</v>
      </c>
      <c r="G75" s="128">
        <f>G74-G54-G52-G53</f>
        <v>199704.89999999997</v>
      </c>
      <c r="H75" s="113">
        <v>8484153.659999996</v>
      </c>
      <c r="I75" s="113">
        <v>107924.80000000002</v>
      </c>
      <c r="J75" s="63">
        <f t="shared" si="28"/>
        <v>4713455.019999996</v>
      </c>
      <c r="K75" s="63">
        <f t="shared" si="33"/>
        <v>8284448.759999996</v>
      </c>
      <c r="L75" s="63">
        <f t="shared" si="34"/>
        <v>-13204054.040000007</v>
      </c>
      <c r="M75" s="63">
        <f t="shared" si="35"/>
        <v>-91780.09999999995</v>
      </c>
      <c r="N75" s="64">
        <f t="shared" si="24"/>
        <v>2.2500216723763415</v>
      </c>
      <c r="O75" s="64">
        <f t="shared" si="29"/>
        <v>42.48345263436199</v>
      </c>
      <c r="P75" s="64">
        <f t="shared" si="30"/>
        <v>0.39118740365069427</v>
      </c>
      <c r="Q75" s="81">
        <f t="shared" si="31"/>
        <v>0</v>
      </c>
      <c r="R75" s="81">
        <f t="shared" si="32"/>
        <v>0</v>
      </c>
      <c r="S75" s="41">
        <f>S74-S54-S52-S53</f>
        <v>8466330.739999996</v>
      </c>
      <c r="T75" s="41">
        <f>T74-T54-T52-T53</f>
        <v>90101.88000000002</v>
      </c>
      <c r="U75" s="41">
        <f>U74-U54-U52-U53</f>
        <v>17822.92</v>
      </c>
      <c r="V75" s="41">
        <f>V74-V54-V52-V53</f>
        <v>8484153.659999996</v>
      </c>
      <c r="W75" s="41">
        <f>W74-W54-W52-W53</f>
        <v>107924.80000000002</v>
      </c>
      <c r="X75" s="49">
        <v>1</v>
      </c>
    </row>
    <row r="76" spans="1:24" ht="33" customHeight="1">
      <c r="A76" s="187"/>
      <c r="B76" s="154"/>
      <c r="C76" s="50" t="s">
        <v>67</v>
      </c>
      <c r="D76" s="47">
        <f aca="true" t="shared" si="39" ref="D76:J76">SUM(D77:D85)</f>
        <v>10471339.260000002</v>
      </c>
      <c r="E76" s="95">
        <f t="shared" si="39"/>
        <v>28243736.583</v>
      </c>
      <c r="F76" s="95">
        <f t="shared" si="39"/>
        <v>12614117.332999999</v>
      </c>
      <c r="G76" s="95">
        <f t="shared" si="39"/>
        <v>1476356.2430000002</v>
      </c>
      <c r="H76" s="95">
        <f t="shared" si="39"/>
        <v>12553797</v>
      </c>
      <c r="I76" s="95">
        <f t="shared" si="39"/>
        <v>1049642.66</v>
      </c>
      <c r="J76" s="47">
        <f t="shared" si="39"/>
        <v>2082457.7399999993</v>
      </c>
      <c r="K76" s="51">
        <f t="shared" si="33"/>
        <v>-60320.3329999987</v>
      </c>
      <c r="L76" s="51">
        <f t="shared" si="34"/>
        <v>-15689939.583</v>
      </c>
      <c r="M76" s="51">
        <f t="shared" si="35"/>
        <v>-426713.58300000033</v>
      </c>
      <c r="N76" s="52">
        <f t="shared" si="24"/>
        <v>1.198872148852524</v>
      </c>
      <c r="O76" s="52">
        <f t="shared" si="29"/>
        <v>0.9952180298147224</v>
      </c>
      <c r="P76" s="52">
        <f t="shared" si="30"/>
        <v>0.4444807422384817</v>
      </c>
      <c r="Q76" s="81">
        <f t="shared" si="31"/>
        <v>0</v>
      </c>
      <c r="R76" s="81">
        <f t="shared" si="32"/>
        <v>0</v>
      </c>
      <c r="S76" s="42">
        <f>SUM(S77:S85)</f>
        <v>12518363.409999998</v>
      </c>
      <c r="T76" s="42">
        <f>SUM(T77:T85)</f>
        <v>1014209.0699999998</v>
      </c>
      <c r="U76" s="42">
        <f>SUM(U77:U85)</f>
        <v>35433.590000000004</v>
      </c>
      <c r="V76" s="42">
        <f>SUM(V77:V85)</f>
        <v>12553797</v>
      </c>
      <c r="W76" s="42">
        <f>SUM(W77:W85)</f>
        <v>1049642.66</v>
      </c>
      <c r="X76" s="49"/>
    </row>
    <row r="77" spans="1:24" ht="31.5">
      <c r="A77" s="187"/>
      <c r="B77" s="154"/>
      <c r="C77" s="24" t="s">
        <v>68</v>
      </c>
      <c r="D77" s="5">
        <v>539943.4</v>
      </c>
      <c r="E77" s="122">
        <v>384548</v>
      </c>
      <c r="F77" s="122">
        <v>320133.9</v>
      </c>
      <c r="G77" s="93">
        <v>0</v>
      </c>
      <c r="H77" s="93">
        <v>326643.7</v>
      </c>
      <c r="I77" s="93">
        <v>0</v>
      </c>
      <c r="J77" s="5">
        <f>H77-D77</f>
        <v>-213299.7</v>
      </c>
      <c r="K77" s="5">
        <f aca="true" t="shared" si="40" ref="K77:K83">H77-F77</f>
        <v>6509.799999999988</v>
      </c>
      <c r="L77" s="5">
        <f>H77-E77</f>
        <v>-57904.29999999999</v>
      </c>
      <c r="M77" s="5">
        <f>I77-G77</f>
        <v>0</v>
      </c>
      <c r="N77" s="45">
        <f t="shared" si="24"/>
        <v>0.6049591494219579</v>
      </c>
      <c r="O77" s="45">
        <f t="shared" si="29"/>
        <v>1.0203346162340194</v>
      </c>
      <c r="P77" s="45">
        <f t="shared" si="30"/>
        <v>0.8494224388112798</v>
      </c>
      <c r="Q77" s="80">
        <f t="shared" si="31"/>
        <v>0</v>
      </c>
      <c r="R77" s="80">
        <f t="shared" si="32"/>
        <v>0</v>
      </c>
      <c r="S77" s="10">
        <v>326643.7</v>
      </c>
      <c r="T77" s="10"/>
      <c r="U77" s="10"/>
      <c r="V77" s="10">
        <f aca="true" t="shared" si="41" ref="V77:V85">S77+U77</f>
        <v>326643.7</v>
      </c>
      <c r="W77" s="10">
        <f t="shared" si="38"/>
        <v>0</v>
      </c>
      <c r="X77" s="15"/>
    </row>
    <row r="78" spans="1:24" ht="15.75">
      <c r="A78" s="187"/>
      <c r="B78" s="154"/>
      <c r="C78" s="25" t="s">
        <v>69</v>
      </c>
      <c r="D78" s="5">
        <v>1661336.22</v>
      </c>
      <c r="E78" s="122">
        <v>9844322.13</v>
      </c>
      <c r="F78" s="122">
        <f>2001110.38</f>
        <v>2001110.38</v>
      </c>
      <c r="G78" s="94">
        <v>16541.1</v>
      </c>
      <c r="H78" s="94">
        <v>1987548.7799999998</v>
      </c>
      <c r="I78" s="94">
        <v>2979.48</v>
      </c>
      <c r="J78" s="5">
        <f aca="true" t="shared" si="42" ref="J78:J83">H78-D78</f>
        <v>326212.5599999998</v>
      </c>
      <c r="K78" s="93">
        <f t="shared" si="40"/>
        <v>-13561.600000000093</v>
      </c>
      <c r="L78" s="93">
        <f>H78-E78</f>
        <v>-7856773.3500000015</v>
      </c>
      <c r="M78" s="93">
        <f>I78-G78</f>
        <v>-13561.619999999999</v>
      </c>
      <c r="N78" s="45">
        <f t="shared" si="24"/>
        <v>1.196355533619799</v>
      </c>
      <c r="O78" s="45">
        <f t="shared" si="29"/>
        <v>0.9932229625434255</v>
      </c>
      <c r="P78" s="45">
        <f t="shared" si="30"/>
        <v>0.20189798279183288</v>
      </c>
      <c r="Q78" s="80">
        <f t="shared" si="31"/>
        <v>0</v>
      </c>
      <c r="R78" s="80">
        <f t="shared" si="32"/>
        <v>0</v>
      </c>
      <c r="S78" s="10">
        <v>1987461.6999999997</v>
      </c>
      <c r="T78" s="10">
        <v>2892.4</v>
      </c>
      <c r="U78" s="10">
        <v>87.08</v>
      </c>
      <c r="V78" s="10">
        <f t="shared" si="41"/>
        <v>1987548.7799999998</v>
      </c>
      <c r="W78" s="10">
        <f t="shared" si="38"/>
        <v>2979.48</v>
      </c>
      <c r="X78" s="2"/>
    </row>
    <row r="79" spans="1:24" ht="15.75">
      <c r="A79" s="187"/>
      <c r="B79" s="154"/>
      <c r="C79" s="25" t="s">
        <v>70</v>
      </c>
      <c r="D79" s="5">
        <v>6516987.060000001</v>
      </c>
      <c r="E79" s="122">
        <v>12307705.3</v>
      </c>
      <c r="F79" s="122">
        <v>7269972.93</v>
      </c>
      <c r="G79" s="94">
        <v>1064050.23</v>
      </c>
      <c r="H79" s="94">
        <v>7190503.3100000005</v>
      </c>
      <c r="I79" s="94">
        <v>984580.6399999999</v>
      </c>
      <c r="J79" s="5">
        <f t="shared" si="42"/>
        <v>673516.2499999991</v>
      </c>
      <c r="K79" s="93">
        <f t="shared" si="40"/>
        <v>-79469.61999999918</v>
      </c>
      <c r="L79" s="93">
        <f t="shared" si="34"/>
        <v>-5117201.99</v>
      </c>
      <c r="M79" s="93">
        <f>I79-G79</f>
        <v>-79469.59000000008</v>
      </c>
      <c r="N79" s="45">
        <f t="shared" si="24"/>
        <v>1.1033477961209883</v>
      </c>
      <c r="O79" s="45">
        <f t="shared" si="29"/>
        <v>0.9890687873579195</v>
      </c>
      <c r="P79" s="45">
        <f t="shared" si="30"/>
        <v>0.5842277772120527</v>
      </c>
      <c r="Q79" s="80">
        <f t="shared" si="31"/>
        <v>0</v>
      </c>
      <c r="R79" s="80">
        <f t="shared" si="32"/>
        <v>0</v>
      </c>
      <c r="S79" s="10">
        <v>7155642.28</v>
      </c>
      <c r="T79" s="10">
        <v>949719.6099999999</v>
      </c>
      <c r="U79" s="6">
        <v>34861.03</v>
      </c>
      <c r="V79" s="10">
        <f t="shared" si="41"/>
        <v>7190503.3100000005</v>
      </c>
      <c r="W79" s="10">
        <f t="shared" si="38"/>
        <v>984580.6399999999</v>
      </c>
      <c r="X79" s="2"/>
    </row>
    <row r="80" spans="1:24" ht="15.75">
      <c r="A80" s="187"/>
      <c r="B80" s="154"/>
      <c r="C80" s="16" t="s">
        <v>71</v>
      </c>
      <c r="D80" s="5">
        <v>1707636.67</v>
      </c>
      <c r="E80" s="122">
        <v>5484388.19</v>
      </c>
      <c r="F80" s="122">
        <v>2800127.16</v>
      </c>
      <c r="G80" s="93">
        <v>180998.82</v>
      </c>
      <c r="H80" s="93">
        <v>2712390.92</v>
      </c>
      <c r="I80" s="93">
        <v>93262.59</v>
      </c>
      <c r="J80" s="5">
        <f t="shared" si="42"/>
        <v>1004754.25</v>
      </c>
      <c r="K80" s="93">
        <f t="shared" si="40"/>
        <v>-87736.24000000022</v>
      </c>
      <c r="L80" s="93">
        <f t="shared" si="34"/>
        <v>-2771997.2700000005</v>
      </c>
      <c r="M80" s="93">
        <f t="shared" si="35"/>
        <v>-87736.23000000001</v>
      </c>
      <c r="N80" s="45">
        <f t="shared" si="24"/>
        <v>1.5883887759332318</v>
      </c>
      <c r="O80" s="45">
        <f t="shared" si="29"/>
        <v>0.9686670515349024</v>
      </c>
      <c r="P80" s="45">
        <f t="shared" si="30"/>
        <v>0.4945658159182929</v>
      </c>
      <c r="Q80" s="80">
        <f t="shared" si="31"/>
        <v>0</v>
      </c>
      <c r="R80" s="80">
        <f t="shared" si="32"/>
        <v>0</v>
      </c>
      <c r="S80" s="10">
        <v>2711905.44</v>
      </c>
      <c r="T80" s="10">
        <v>92777.11</v>
      </c>
      <c r="U80" s="6">
        <v>485.48</v>
      </c>
      <c r="V80" s="10">
        <f t="shared" si="41"/>
        <v>2712390.92</v>
      </c>
      <c r="W80" s="10">
        <f t="shared" si="38"/>
        <v>93262.59</v>
      </c>
      <c r="X80" s="2"/>
    </row>
    <row r="81" spans="1:24" ht="31.5">
      <c r="A81" s="187"/>
      <c r="B81" s="154"/>
      <c r="C81" s="16" t="s">
        <v>89</v>
      </c>
      <c r="D81" s="5">
        <v>4.06</v>
      </c>
      <c r="E81" s="93">
        <v>0</v>
      </c>
      <c r="F81" s="93">
        <v>0</v>
      </c>
      <c r="G81" s="93">
        <v>0</v>
      </c>
      <c r="H81" s="5">
        <v>839.12</v>
      </c>
      <c r="I81" s="5">
        <v>51.23</v>
      </c>
      <c r="J81" s="5">
        <f t="shared" si="42"/>
        <v>835.0600000000001</v>
      </c>
      <c r="K81" s="5">
        <f t="shared" si="40"/>
        <v>839.12</v>
      </c>
      <c r="L81" s="5">
        <f t="shared" si="34"/>
        <v>839.12</v>
      </c>
      <c r="M81" s="5">
        <f t="shared" si="35"/>
        <v>51.23</v>
      </c>
      <c r="N81" s="45">
        <f t="shared" si="24"/>
        <v>206.67980295566505</v>
      </c>
      <c r="O81" s="45">
        <f t="shared" si="29"/>
      </c>
      <c r="P81" s="45">
        <f t="shared" si="30"/>
      </c>
      <c r="Q81" s="80">
        <f t="shared" si="31"/>
        <v>0</v>
      </c>
      <c r="R81" s="80">
        <f t="shared" si="32"/>
        <v>0</v>
      </c>
      <c r="S81" s="10">
        <v>839.12</v>
      </c>
      <c r="T81" s="10">
        <v>51.23</v>
      </c>
      <c r="U81" s="6"/>
      <c r="V81" s="10">
        <f t="shared" si="41"/>
        <v>839.12</v>
      </c>
      <c r="W81" s="10">
        <f t="shared" si="38"/>
        <v>51.23</v>
      </c>
      <c r="X81" s="2"/>
    </row>
    <row r="82" spans="1:24" ht="29.25" customHeight="1">
      <c r="A82" s="187"/>
      <c r="B82" s="154"/>
      <c r="C82" s="38" t="s">
        <v>72</v>
      </c>
      <c r="D82" s="5">
        <v>62670.44</v>
      </c>
      <c r="E82" s="93">
        <v>214766.093</v>
      </c>
      <c r="F82" s="93">
        <v>214766.093</v>
      </c>
      <c r="G82" s="93">
        <v>214766.093</v>
      </c>
      <c r="H82" s="5">
        <v>450392.64</v>
      </c>
      <c r="I82" s="5">
        <v>0</v>
      </c>
      <c r="J82" s="5">
        <f t="shared" si="42"/>
        <v>387722.2</v>
      </c>
      <c r="K82" s="5">
        <f t="shared" si="40"/>
        <v>235626.54700000002</v>
      </c>
      <c r="L82" s="5">
        <f>H82-E82</f>
        <v>235626.54700000002</v>
      </c>
      <c r="M82" s="5">
        <f t="shared" si="35"/>
        <v>-214766.093</v>
      </c>
      <c r="N82" s="45">
        <f t="shared" si="24"/>
        <v>7.186683865631069</v>
      </c>
      <c r="O82" s="45">
        <f t="shared" si="29"/>
        <v>2.0971310401404937</v>
      </c>
      <c r="P82" s="45">
        <f t="shared" si="30"/>
        <v>2.0971310401404937</v>
      </c>
      <c r="Q82" s="80">
        <f t="shared" si="31"/>
        <v>0</v>
      </c>
      <c r="R82" s="80">
        <f t="shared" si="32"/>
        <v>0</v>
      </c>
      <c r="S82" s="10">
        <v>450392.64</v>
      </c>
      <c r="T82" s="10"/>
      <c r="U82" s="6"/>
      <c r="V82" s="10">
        <f t="shared" si="41"/>
        <v>450392.64</v>
      </c>
      <c r="W82" s="10">
        <f t="shared" si="38"/>
        <v>0</v>
      </c>
      <c r="X82" s="2"/>
    </row>
    <row r="83" spans="1:25" s="85" customFormat="1" ht="94.5" hidden="1">
      <c r="A83" s="187"/>
      <c r="B83" s="154"/>
      <c r="C83" s="139" t="s">
        <v>93</v>
      </c>
      <c r="D83" s="140">
        <v>-1755.66</v>
      </c>
      <c r="E83" s="141">
        <v>0</v>
      </c>
      <c r="F83" s="141">
        <v>0</v>
      </c>
      <c r="G83" s="141">
        <v>0</v>
      </c>
      <c r="H83" s="142"/>
      <c r="I83" s="142">
        <v>0</v>
      </c>
      <c r="J83" s="143">
        <f t="shared" si="42"/>
        <v>1755.66</v>
      </c>
      <c r="K83" s="143">
        <f t="shared" si="40"/>
        <v>0</v>
      </c>
      <c r="L83" s="143">
        <f>H83-E83</f>
        <v>0</v>
      </c>
      <c r="M83" s="143">
        <f t="shared" si="35"/>
        <v>0</v>
      </c>
      <c r="N83" s="144">
        <f t="shared" si="24"/>
        <v>0</v>
      </c>
      <c r="O83" s="145">
        <f t="shared" si="29"/>
      </c>
      <c r="P83" s="144">
        <f t="shared" si="30"/>
      </c>
      <c r="Q83" s="80"/>
      <c r="R83" s="80"/>
      <c r="T83" s="146"/>
      <c r="U83" s="147"/>
      <c r="V83" s="146"/>
      <c r="W83" s="146">
        <f t="shared" si="38"/>
        <v>0</v>
      </c>
      <c r="X83" s="98"/>
      <c r="Y83" s="84"/>
    </row>
    <row r="84" spans="1:24" ht="31.5">
      <c r="A84" s="187"/>
      <c r="B84" s="154"/>
      <c r="C84" s="13" t="s">
        <v>73</v>
      </c>
      <c r="D84" s="5">
        <v>322720.02</v>
      </c>
      <c r="E84" s="117">
        <v>8006.87</v>
      </c>
      <c r="F84" s="117">
        <v>8006.87</v>
      </c>
      <c r="G84" s="117">
        <v>0</v>
      </c>
      <c r="H84" s="9">
        <v>163164.50000000003</v>
      </c>
      <c r="I84" s="9">
        <v>-31231.28</v>
      </c>
      <c r="J84" s="5">
        <f t="shared" si="28"/>
        <v>-159555.52</v>
      </c>
      <c r="K84" s="5">
        <f t="shared" si="33"/>
        <v>155157.63000000003</v>
      </c>
      <c r="L84" s="5">
        <f t="shared" si="34"/>
        <v>155157.63000000003</v>
      </c>
      <c r="M84" s="5">
        <f t="shared" si="35"/>
        <v>-31231.28</v>
      </c>
      <c r="N84" s="45">
        <f t="shared" si="24"/>
        <v>0.5055915031239773</v>
      </c>
      <c r="O84" s="45">
        <f t="shared" si="29"/>
        <v>20.37806283853741</v>
      </c>
      <c r="P84" s="45">
        <f t="shared" si="30"/>
        <v>20.37806283853741</v>
      </c>
      <c r="Q84" s="80">
        <f aca="true" t="shared" si="43" ref="Q84:R87">V84-H84</f>
        <v>0</v>
      </c>
      <c r="R84" s="80">
        <f t="shared" si="43"/>
        <v>0</v>
      </c>
      <c r="S84" s="10">
        <v>163164.50000000003</v>
      </c>
      <c r="T84" s="10">
        <v>-31231.28</v>
      </c>
      <c r="U84" s="6"/>
      <c r="V84" s="10">
        <f t="shared" si="41"/>
        <v>163164.50000000003</v>
      </c>
      <c r="W84" s="10">
        <f t="shared" si="38"/>
        <v>-31231.28</v>
      </c>
      <c r="X84" s="2"/>
    </row>
    <row r="85" spans="1:24" ht="15.75">
      <c r="A85" s="187"/>
      <c r="B85" s="154"/>
      <c r="C85" s="13" t="s">
        <v>74</v>
      </c>
      <c r="D85" s="5">
        <v>-338202.95</v>
      </c>
      <c r="E85" s="93">
        <v>0</v>
      </c>
      <c r="F85" s="93">
        <v>0</v>
      </c>
      <c r="G85" s="93">
        <v>0</v>
      </c>
      <c r="H85" s="5">
        <v>-277685.97</v>
      </c>
      <c r="I85" s="5">
        <v>0</v>
      </c>
      <c r="J85" s="5">
        <f t="shared" si="28"/>
        <v>60516.98000000004</v>
      </c>
      <c r="K85" s="5">
        <f t="shared" si="33"/>
        <v>-277685.97</v>
      </c>
      <c r="L85" s="5">
        <f t="shared" si="34"/>
        <v>-277685.97</v>
      </c>
      <c r="M85" s="5">
        <f t="shared" si="35"/>
        <v>0</v>
      </c>
      <c r="N85" s="45">
        <f t="shared" si="24"/>
        <v>0.8210631220100237</v>
      </c>
      <c r="O85" s="45">
        <f t="shared" si="29"/>
      </c>
      <c r="P85" s="45">
        <f t="shared" si="30"/>
      </c>
      <c r="Q85" s="80">
        <f t="shared" si="43"/>
        <v>0</v>
      </c>
      <c r="R85" s="80">
        <f t="shared" si="43"/>
        <v>0</v>
      </c>
      <c r="S85" s="10">
        <v>-277685.97</v>
      </c>
      <c r="T85" s="10"/>
      <c r="U85" s="6"/>
      <c r="V85" s="10">
        <f t="shared" si="41"/>
        <v>-277685.97</v>
      </c>
      <c r="W85" s="10">
        <f t="shared" si="38"/>
        <v>0</v>
      </c>
      <c r="X85" s="2"/>
    </row>
    <row r="86" spans="1:24" ht="29.25" customHeight="1">
      <c r="A86" s="181" t="s">
        <v>75</v>
      </c>
      <c r="B86" s="181"/>
      <c r="C86" s="181"/>
      <c r="D86" s="63">
        <f aca="true" t="shared" si="44" ref="D86:K86">D74+D76</f>
        <v>20746644.72</v>
      </c>
      <c r="E86" s="129">
        <f t="shared" si="44"/>
        <v>54814534.463</v>
      </c>
      <c r="F86" s="129">
        <f t="shared" si="44"/>
        <v>24063234.042999998</v>
      </c>
      <c r="G86" s="129">
        <f t="shared" si="44"/>
        <v>2044830.3430000003</v>
      </c>
      <c r="H86" s="129">
        <f t="shared" si="44"/>
        <v>23464400.18</v>
      </c>
      <c r="I86" s="129">
        <f t="shared" si="44"/>
        <v>1243401.99</v>
      </c>
      <c r="J86" s="63">
        <f t="shared" si="44"/>
        <v>2717755.459999998</v>
      </c>
      <c r="K86" s="63">
        <f t="shared" si="44"/>
        <v>-598833.8629999999</v>
      </c>
      <c r="L86" s="46">
        <f t="shared" si="34"/>
        <v>-31350134.283</v>
      </c>
      <c r="M86" s="46">
        <f t="shared" si="35"/>
        <v>-801428.3530000004</v>
      </c>
      <c r="N86" s="64">
        <f t="shared" si="24"/>
        <v>1.130997349049895</v>
      </c>
      <c r="O86" s="64">
        <f>_xlfn.IFERROR(H86/F86,"")</f>
        <v>0.9751141570609376</v>
      </c>
      <c r="P86" s="64">
        <f t="shared" si="30"/>
        <v>0.4280689494104625</v>
      </c>
      <c r="Q86" s="82">
        <f t="shared" si="43"/>
        <v>-2.7900000028312206</v>
      </c>
      <c r="R86" s="82">
        <f t="shared" si="43"/>
        <v>-2.790000000037253</v>
      </c>
      <c r="S86" s="65">
        <f>S74+S76</f>
        <v>23397122.049999997</v>
      </c>
      <c r="T86" s="65">
        <f>T74+T76</f>
        <v>1176123.8599999999</v>
      </c>
      <c r="U86" s="65">
        <f>U74+U76</f>
        <v>67275.34</v>
      </c>
      <c r="V86" s="65">
        <f>S86+U86</f>
        <v>23464397.389999997</v>
      </c>
      <c r="W86" s="65">
        <f>T86+U86</f>
        <v>1243399.2</v>
      </c>
      <c r="X86" s="66"/>
    </row>
    <row r="87" spans="1:24" ht="15.75" hidden="1">
      <c r="A87" s="182" t="s">
        <v>82</v>
      </c>
      <c r="B87" s="182"/>
      <c r="C87" s="182"/>
      <c r="D87" s="46">
        <v>6683833.650000001</v>
      </c>
      <c r="E87" s="130">
        <f>E86-E54-E53-E52</f>
        <v>49931944.283</v>
      </c>
      <c r="F87" s="130">
        <f>G87</f>
        <v>1676061.1430000004</v>
      </c>
      <c r="G87" s="130">
        <f>G86-G54-G53-G52</f>
        <v>1676061.1430000004</v>
      </c>
      <c r="H87" s="110">
        <f>H86-H54-H53-H52</f>
        <v>21037953.45</v>
      </c>
      <c r="I87" s="110">
        <f>I86-I54-I53-I52</f>
        <v>1157570.25</v>
      </c>
      <c r="J87" s="46">
        <f t="shared" si="28"/>
        <v>14354119.799999997</v>
      </c>
      <c r="K87" s="46">
        <f t="shared" si="33"/>
        <v>19361892.307</v>
      </c>
      <c r="L87" s="46">
        <f t="shared" si="34"/>
        <v>-28893990.833</v>
      </c>
      <c r="M87" s="46">
        <f>H87-G87</f>
        <v>19361892.307</v>
      </c>
      <c r="N87" s="64">
        <f>H87/D87</f>
        <v>3.147587829329055</v>
      </c>
      <c r="O87" s="64">
        <f t="shared" si="29"/>
        <v>12.552020275551483</v>
      </c>
      <c r="P87" s="45">
        <f t="shared" si="30"/>
        <v>0.421332550776771</v>
      </c>
      <c r="Q87" s="80">
        <f t="shared" si="43"/>
        <v>-2.7900000028312206</v>
      </c>
      <c r="R87" s="80">
        <f t="shared" si="43"/>
        <v>-2.790000000037253</v>
      </c>
      <c r="S87" s="42">
        <f>S86-S54-S53-S52</f>
        <v>20984694.149999995</v>
      </c>
      <c r="T87" s="42">
        <f>T86-T54-T53-T52</f>
        <v>1104310.95</v>
      </c>
      <c r="U87" s="42">
        <f>U86-U54-U53-U52</f>
        <v>53256.509999999995</v>
      </c>
      <c r="V87" s="42">
        <f>S87+U87</f>
        <v>21037950.659999996</v>
      </c>
      <c r="W87" s="42">
        <f>T87+U87</f>
        <v>1157567.46</v>
      </c>
      <c r="X87" s="15">
        <v>1</v>
      </c>
    </row>
    <row r="88" spans="1:24" ht="15.75">
      <c r="A88" s="26" t="s">
        <v>76</v>
      </c>
      <c r="B88" s="27"/>
      <c r="C88" s="28"/>
      <c r="D88" s="29"/>
      <c r="E88" s="131"/>
      <c r="F88" s="131"/>
      <c r="G88" s="131"/>
      <c r="H88" s="111"/>
      <c r="I88" s="111"/>
      <c r="J88" s="29"/>
      <c r="K88" s="29"/>
      <c r="L88" s="29"/>
      <c r="M88" s="29"/>
      <c r="N88" s="30"/>
      <c r="O88" s="31"/>
      <c r="P88" s="30"/>
      <c r="Q88" s="83"/>
      <c r="R88" s="83"/>
      <c r="S88" s="32"/>
      <c r="T88" s="32"/>
      <c r="U88" s="32"/>
      <c r="V88" s="32"/>
      <c r="W88" s="32"/>
      <c r="X88" s="2"/>
    </row>
    <row r="89" spans="21:23" ht="12.75">
      <c r="U89" s="70"/>
      <c r="V89" s="70"/>
      <c r="W89" s="70"/>
    </row>
    <row r="90" spans="22:23" ht="12.75">
      <c r="V90" s="70"/>
      <c r="W90" s="70"/>
    </row>
    <row r="91" spans="22:23" ht="12.75">
      <c r="V91" s="70"/>
      <c r="W91" s="70"/>
    </row>
  </sheetData>
  <sheetProtection/>
  <autoFilter ref="A4:X89"/>
  <mergeCells count="42">
    <mergeCell ref="A86:C86"/>
    <mergeCell ref="A87:C87"/>
    <mergeCell ref="A65:A73"/>
    <mergeCell ref="B65:B73"/>
    <mergeCell ref="A74:C74"/>
    <mergeCell ref="A75:C75"/>
    <mergeCell ref="A76:A85"/>
    <mergeCell ref="B76:B85"/>
    <mergeCell ref="O3:O4"/>
    <mergeCell ref="P3:P4"/>
    <mergeCell ref="S3:T3"/>
    <mergeCell ref="V3:W3"/>
    <mergeCell ref="B63:B64"/>
    <mergeCell ref="A63:A64"/>
    <mergeCell ref="A57:A60"/>
    <mergeCell ref="B57:B60"/>
    <mergeCell ref="A1:P1"/>
    <mergeCell ref="S2:W2"/>
    <mergeCell ref="A3:A4"/>
    <mergeCell ref="B3:B4"/>
    <mergeCell ref="C3:C4"/>
    <mergeCell ref="D3:D4"/>
    <mergeCell ref="E3:G3"/>
    <mergeCell ref="A61:A62"/>
    <mergeCell ref="B61:B62"/>
    <mergeCell ref="A30:A37"/>
    <mergeCell ref="B30:B37"/>
    <mergeCell ref="A38:A48"/>
    <mergeCell ref="B38:B48"/>
    <mergeCell ref="A49:A50"/>
    <mergeCell ref="B49:B50"/>
    <mergeCell ref="A51:A56"/>
    <mergeCell ref="B51:B56"/>
    <mergeCell ref="A27:A29"/>
    <mergeCell ref="B27:B29"/>
    <mergeCell ref="H3:I3"/>
    <mergeCell ref="J3:M3"/>
    <mergeCell ref="N3:N4"/>
    <mergeCell ref="A23:A26"/>
    <mergeCell ref="B23:B26"/>
    <mergeCell ref="A6:A17"/>
    <mergeCell ref="A22:B22"/>
  </mergeCells>
  <printOptions/>
  <pageMargins left="0" right="0" top="0.74" bottom="0.43" header="0.19" footer="0.31496062992125984"/>
  <pageSetup fitToHeight="2" fitToWidth="1" horizontalDpi="600" verticalDpi="600" orientation="landscape" paperSize="9" scale="50" r:id="rId1"/>
  <rowBreaks count="1" manualBreakCount="1">
    <brk id="4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Юрьева Ольга Ивановна</dc:creator>
  <cp:keywords/>
  <dc:description/>
  <cp:lastModifiedBy>Постникова Татьяна Викторовна</cp:lastModifiedBy>
  <cp:lastPrinted>2023-07-07T09:20:37Z</cp:lastPrinted>
  <dcterms:created xsi:type="dcterms:W3CDTF">2015-02-26T11:08:47Z</dcterms:created>
  <dcterms:modified xsi:type="dcterms:W3CDTF">2023-07-11T06:51:44Z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