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24.07.2023" sheetId="1" r:id="rId1"/>
  </sheets>
  <definedNames>
    <definedName name="_xlfn.IFERROR" hidden="1">#NAME?</definedName>
    <definedName name="_xlnm._FilterDatabase" localSheetId="0" hidden="1">'24.07.2023'!$A$4:$P$82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'24.07.2023'!$3:$4</definedName>
    <definedName name="о">#REF!</definedName>
    <definedName name="_xlnm.Print_Area" localSheetId="0">'24.07.2023'!$A$1:$P$81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<sst xmlns="http://schemas.openxmlformats.org/spreadsheetml/2006/main" count="133" uniqueCount="107">
  <si>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</si>
  <si>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</si>
  <si>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</si>
  <si>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</si>
  <si>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</si>
  <si>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</si>
  <si>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</si>
  <si>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</si>
  <si>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</si>
  <si>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</si>
  <si>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</si>
  <si>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</si>
  <si>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</si>
  <si>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</si>
  <si>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</si>
  <si>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</si>
  <si>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</si>
  <si>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</si>
  <si>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</si>
  <si>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</si>
  <si>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</si>
  <si>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</si>
  <si>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</si>
  <si>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</si>
  <si>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</si>
  <si>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</si>
  <si>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</si>
  <si>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</si>
  <si>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</si>
  <si>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</si>
  <si>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</si>
  <si>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</si>
  <si>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</si>
  <si>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</si>
  <si>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</si>
  <si>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</si>
  <si>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</si>
  <si>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</si>
  <si>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</si>
  <si>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</si>
  <si>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</si>
  <si>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</si>
  <si>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</si>
  <si>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</si>
  <si>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</si>
  <si>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</si>
  <si>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</si>
  <si>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</si>
  <si>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</si>
  <si>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</si>
  <si>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</si>
  <si>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</si>
  <si>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</si>
  <si>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</si>
  <si>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</si>
  <si>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</si>
  <si>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</si>
  <si>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</si>
  <si>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</si>
  <si>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</si>
  <si>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</si>
  <si>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</si>
  <si>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</si>
  <si>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</si>
  <si>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</si>
  <si>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</si>
  <si>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</si>
  <si>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</si>
  <si>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</si>
  <si>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</si>
  <si>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</si>
  <si>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</si>
  <si>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</si>
  <si>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</si>
  <si>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</si>
  <si>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</si>
  <si>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</si>
  <si>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</si>
  <si>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</si>
  <si>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</si>
  <si>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</si>
  <si>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</si>
  <si>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</si>
  <si>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</si>
  <si>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</si>
  <si>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</si>
  <si>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</si>
  <si>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</si>
  <si>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</si>
  <si>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</si>
  <si>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</si>
  <si>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</si>
  <si>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</si>
  <si>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</si>
  <si>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</si>
  <si>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</si>
  <si>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</si>
  <si>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</si>
  <si>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</si>
  <si>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</si>
  <si>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</si>
  <si>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</si>
  <si>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январь-июль</t>
  </si>
  <si>
    <t>июль</t>
  </si>
  <si>
    <t>факта за июля от плана июля</t>
  </si>
  <si>
    <t>Факт с нач. 2022 года      (по 21.07.22 вкл.)</t>
  </si>
  <si>
    <t>с нач. года на 24.07.2023 (по 21.07.2023 вкл.)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</si>
</sst>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</numFmts>
  <fonts count="4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6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5" fillId="0" borderId="12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wrapText="1"/>
    </xf>
    <xf numFmtId="168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 applyAlignment="1">
      <alignment wrapText="1"/>
    </xf>
    <xf numFmtId="168" fontId="3" fillId="0" borderId="11" xfId="0" applyNumberFormat="1" applyFont="1" applyFill="1" applyBorder="1" applyAlignment="1">
      <alignment horizontal="right" wrapText="1"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46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4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Процентный 2" xfId="146"/>
    <cellStyle name="Процентный 2 2" xfId="147"/>
    <cellStyle name="Связанная ячейка" xfId="148"/>
    <cellStyle name="Текст предупреждения" xfId="149"/>
    <cellStyle name="Comma" xfId="150"/>
    <cellStyle name="Comma [0]" xfId="151"/>
    <cellStyle name="Финансовый 2" xfId="152"/>
    <cellStyle name="Финансовый 3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="89" zoomScaleNormal="89" zoomScalePageLayoutView="0" workbookViewId="0" topLeftCell="A1">
      <pane xSplit="3" ySplit="4" topLeftCell="D5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0" sqref="A50:A54"/>
    </sheetView>
  </sheetViews>
  <sheetFormatPr defaultColWidth="9.00390625" defaultRowHeight="12.75"/>
  <cols>
    <col min="1" max="2" width="9.125" style="37" customWidth="1"/>
    <col min="3" max="3" width="67.625" style="37" customWidth="1"/>
    <col min="4" max="4" width="14.625" style="40" customWidth="1"/>
    <col min="5" max="5" width="15.625" style="37" customWidth="1"/>
    <col min="6" max="6" width="13.875" style="37" customWidth="1"/>
    <col min="7" max="7" width="13.00390625" style="37" customWidth="1"/>
    <col min="8" max="8" width="16.25390625" style="55" customWidth="1"/>
    <col min="9" max="9" width="13.875" style="55" customWidth="1"/>
    <col min="10" max="10" width="15.125" style="37" customWidth="1"/>
    <col min="11" max="11" width="14.375" style="37" customWidth="1"/>
    <col min="12" max="12" width="15.625" style="37" customWidth="1"/>
    <col min="13" max="13" width="13.75390625" style="37" customWidth="1"/>
    <col min="14" max="14" width="13.25390625" style="37" customWidth="1"/>
    <col min="15" max="15" width="11.125" style="37" customWidth="1"/>
    <col min="16" max="16" width="11.875" style="37" customWidth="1"/>
    <col min="17" max="16384" width="9.125" style="37" customWidth="1"/>
  </cols>
  <sheetData>
    <row r="1" spans="1:16" ht="20.2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0.25" customHeight="1">
      <c r="A2" s="26"/>
      <c r="B2" s="27"/>
      <c r="C2" s="24"/>
      <c r="D2" s="42"/>
      <c r="E2" s="24"/>
      <c r="F2" s="24"/>
      <c r="G2" s="42"/>
      <c r="H2" s="47"/>
      <c r="I2" s="47"/>
      <c r="J2" s="24"/>
      <c r="K2" s="24"/>
      <c r="L2" s="24"/>
      <c r="M2" s="24"/>
      <c r="N2" s="24"/>
      <c r="O2" s="23"/>
      <c r="P2" s="23" t="s">
        <v>0</v>
      </c>
    </row>
    <row r="3" spans="1:16" ht="20.25" customHeight="1">
      <c r="A3" s="74" t="s">
        <v>1</v>
      </c>
      <c r="B3" s="72" t="s">
        <v>2</v>
      </c>
      <c r="C3" s="75" t="s">
        <v>3</v>
      </c>
      <c r="D3" s="77" t="s">
        <v>105</v>
      </c>
      <c r="E3" s="79" t="s">
        <v>86</v>
      </c>
      <c r="F3" s="80"/>
      <c r="G3" s="81"/>
      <c r="H3" s="91" t="s">
        <v>88</v>
      </c>
      <c r="I3" s="92"/>
      <c r="J3" s="79" t="s">
        <v>4</v>
      </c>
      <c r="K3" s="80"/>
      <c r="L3" s="80"/>
      <c r="M3" s="81"/>
      <c r="N3" s="72" t="s">
        <v>100</v>
      </c>
      <c r="O3" s="82" t="s">
        <v>98</v>
      </c>
      <c r="P3" s="72" t="s">
        <v>99</v>
      </c>
    </row>
    <row r="4" spans="1:16" ht="63">
      <c r="A4" s="74"/>
      <c r="B4" s="72"/>
      <c r="C4" s="76"/>
      <c r="D4" s="78"/>
      <c r="E4" s="1" t="s">
        <v>83</v>
      </c>
      <c r="F4" s="1" t="s">
        <v>102</v>
      </c>
      <c r="G4" s="1" t="s">
        <v>103</v>
      </c>
      <c r="H4" s="48" t="s">
        <v>106</v>
      </c>
      <c r="I4" s="48" t="s">
        <v>103</v>
      </c>
      <c r="J4" s="1" t="s">
        <v>89</v>
      </c>
      <c r="K4" s="1" t="s">
        <v>5</v>
      </c>
      <c r="L4" s="1" t="s">
        <v>90</v>
      </c>
      <c r="M4" s="1" t="s">
        <v>104</v>
      </c>
      <c r="N4" s="72"/>
      <c r="O4" s="82"/>
      <c r="P4" s="72"/>
    </row>
    <row r="5" spans="1:16" ht="25.5" customHeight="1">
      <c r="A5" s="56"/>
      <c r="B5" s="57"/>
      <c r="C5" s="58" t="s">
        <v>6</v>
      </c>
      <c r="D5" s="33">
        <f aca="true" t="shared" si="0" ref="D5:I5">D17+D19+D21+D18+D20</f>
        <v>8422019.96</v>
      </c>
      <c r="E5" s="33">
        <f t="shared" si="0"/>
        <v>20002935.000000004</v>
      </c>
      <c r="F5" s="33">
        <f t="shared" si="0"/>
        <v>7871508.6</v>
      </c>
      <c r="G5" s="33">
        <f t="shared" si="0"/>
        <v>97469.6</v>
      </c>
      <c r="H5" s="33">
        <f t="shared" si="0"/>
        <v>7322364.559999998</v>
      </c>
      <c r="I5" s="33">
        <f t="shared" si="0"/>
        <v>61493.42999999999</v>
      </c>
      <c r="J5" s="33">
        <f>H5-D5</f>
        <v>-1099655.4000000032</v>
      </c>
      <c r="K5" s="33">
        <f>H5-F5</f>
        <v>-549144.0400000019</v>
      </c>
      <c r="L5" s="33">
        <f>H5-E5</f>
        <v>-12680570.440000005</v>
      </c>
      <c r="M5" s="33">
        <f>I5-G5</f>
        <v>-35976.17000000001</v>
      </c>
      <c r="N5" s="59">
        <f aca="true" t="shared" si="1" ref="N5:N36">_xlfn.IFERROR(H5/D5,"")</f>
        <v>0.8694309197528899</v>
      </c>
      <c r="O5" s="59">
        <f aca="true" t="shared" si="2" ref="O5:O36">_xlfn.IFERROR(H5/F5,"")</f>
        <v>0.9302364936754307</v>
      </c>
      <c r="P5" s="59">
        <f aca="true" t="shared" si="3" ref="P5:P36">_xlfn.IFERROR(H5/E5,"")</f>
        <v>0.3660645080334459</v>
      </c>
    </row>
    <row r="6" spans="1:17" ht="18" customHeight="1">
      <c r="A6" s="88" t="s">
        <v>10</v>
      </c>
      <c r="B6" s="43" t="s">
        <v>11</v>
      </c>
      <c r="C6" s="4" t="s">
        <v>12</v>
      </c>
      <c r="D6" s="5">
        <v>6476654.01</v>
      </c>
      <c r="E6" s="5">
        <f>14235121.9+613644.6</f>
        <v>14848766.5</v>
      </c>
      <c r="F6" s="5">
        <v>5839946.1</v>
      </c>
      <c r="G6" s="5">
        <v>24288.6</v>
      </c>
      <c r="H6" s="5">
        <v>5538830.8</v>
      </c>
      <c r="I6" s="5">
        <v>23981.659999999996</v>
      </c>
      <c r="J6" s="5">
        <f aca="true" t="shared" si="4" ref="J6:J58">H6-D6</f>
        <v>-937823.21</v>
      </c>
      <c r="K6" s="5">
        <f aca="true" t="shared" si="5" ref="K6:K65">H6-F6</f>
        <v>-301115.2999999998</v>
      </c>
      <c r="L6" s="5">
        <f aca="true" t="shared" si="6" ref="L6:L65">H6-E6</f>
        <v>-9309935.7</v>
      </c>
      <c r="M6" s="5">
        <f>I6-G6</f>
        <v>-306.9400000000023</v>
      </c>
      <c r="N6" s="29">
        <f t="shared" si="1"/>
        <v>0.8551994272734047</v>
      </c>
      <c r="O6" s="29">
        <f t="shared" si="2"/>
        <v>0.9484386850762202</v>
      </c>
      <c r="P6" s="29">
        <f t="shared" si="3"/>
        <v>0.3730162232667609</v>
      </c>
      <c r="Q6" s="41"/>
    </row>
    <row r="7" spans="1:17" ht="18" customHeight="1">
      <c r="A7" s="89"/>
      <c r="B7" s="43" t="s">
        <v>7</v>
      </c>
      <c r="C7" s="2" t="s">
        <v>8</v>
      </c>
      <c r="D7" s="3">
        <v>35264.86</v>
      </c>
      <c r="E7" s="3">
        <v>80057.5</v>
      </c>
      <c r="F7" s="3">
        <v>44330</v>
      </c>
      <c r="G7" s="3">
        <v>6820</v>
      </c>
      <c r="H7" s="5">
        <v>37354.56</v>
      </c>
      <c r="I7" s="5">
        <v>0.01</v>
      </c>
      <c r="J7" s="3">
        <f>H7-D7</f>
        <v>2089.699999999997</v>
      </c>
      <c r="K7" s="3">
        <f>H7-F7</f>
        <v>-6975.440000000002</v>
      </c>
      <c r="L7" s="3">
        <f>H7-E7</f>
        <v>-42702.94</v>
      </c>
      <c r="M7" s="3">
        <f>I7-G7</f>
        <v>-6819.99</v>
      </c>
      <c r="N7" s="29">
        <f t="shared" si="1"/>
        <v>1.0592572889839913</v>
      </c>
      <c r="O7" s="29">
        <f t="shared" si="2"/>
        <v>0.8426474170990299</v>
      </c>
      <c r="P7" s="29">
        <f t="shared" si="3"/>
        <v>0.46659663366955</v>
      </c>
      <c r="Q7" s="41"/>
    </row>
    <row r="8" spans="1:17" ht="18" customHeight="1">
      <c r="A8" s="89"/>
      <c r="B8" s="43" t="s">
        <v>11</v>
      </c>
      <c r="C8" s="4" t="s">
        <v>91</v>
      </c>
      <c r="D8" s="5"/>
      <c r="E8" s="5">
        <v>1204375.9</v>
      </c>
      <c r="F8" s="5">
        <v>648721.5</v>
      </c>
      <c r="G8" s="5">
        <v>0</v>
      </c>
      <c r="H8" s="5">
        <v>550687.2199999997</v>
      </c>
      <c r="I8" s="5">
        <v>2543.24</v>
      </c>
      <c r="J8" s="5">
        <f>H8-D8</f>
        <v>550687.2199999997</v>
      </c>
      <c r="K8" s="5">
        <f>H8-F8</f>
        <v>-98034.28000000026</v>
      </c>
      <c r="L8" s="5">
        <f>H8-E8</f>
        <v>-653688.6800000002</v>
      </c>
      <c r="M8" s="5">
        <f aca="true" t="shared" si="7" ref="M8:M65">I8-G8</f>
        <v>2543.24</v>
      </c>
      <c r="N8" s="29">
        <f t="shared" si="1"/>
      </c>
      <c r="O8" s="29">
        <f t="shared" si="2"/>
        <v>0.8488807909095039</v>
      </c>
      <c r="P8" s="29">
        <f t="shared" si="3"/>
        <v>0.4572386577977854</v>
      </c>
      <c r="Q8" s="41"/>
    </row>
    <row r="9" spans="1:17" ht="18" customHeight="1">
      <c r="A9" s="89"/>
      <c r="B9" s="43" t="s">
        <v>11</v>
      </c>
      <c r="C9" s="4" t="s">
        <v>13</v>
      </c>
      <c r="D9" s="5">
        <v>360.90000000000003</v>
      </c>
      <c r="E9" s="5"/>
      <c r="F9" s="5"/>
      <c r="G9" s="5"/>
      <c r="H9" s="5">
        <v>-1962.38</v>
      </c>
      <c r="I9" s="5">
        <v>13.2</v>
      </c>
      <c r="J9" s="5">
        <f t="shared" si="4"/>
        <v>-2323.28</v>
      </c>
      <c r="K9" s="5">
        <f>H9-F9</f>
        <v>-1962.38</v>
      </c>
      <c r="L9" s="5">
        <f t="shared" si="6"/>
        <v>-1962.38</v>
      </c>
      <c r="M9" s="5">
        <f t="shared" si="7"/>
        <v>13.2</v>
      </c>
      <c r="N9" s="29">
        <f t="shared" si="1"/>
        <v>-5.437461900803546</v>
      </c>
      <c r="O9" s="29">
        <f t="shared" si="2"/>
      </c>
      <c r="P9" s="29">
        <f t="shared" si="3"/>
      </c>
      <c r="Q9" s="41"/>
    </row>
    <row r="10" spans="1:17" ht="18" customHeight="1">
      <c r="A10" s="89"/>
      <c r="B10" s="43" t="s">
        <v>11</v>
      </c>
      <c r="C10" s="4" t="s">
        <v>14</v>
      </c>
      <c r="D10" s="5">
        <v>2210.04</v>
      </c>
      <c r="E10" s="5">
        <v>4690.3</v>
      </c>
      <c r="F10" s="5">
        <v>2720.4</v>
      </c>
      <c r="G10" s="5">
        <v>0</v>
      </c>
      <c r="H10" s="5">
        <v>-1457.88</v>
      </c>
      <c r="I10" s="5">
        <v>0</v>
      </c>
      <c r="J10" s="5">
        <f t="shared" si="4"/>
        <v>-3667.92</v>
      </c>
      <c r="K10" s="5">
        <f t="shared" si="5"/>
        <v>-4178.280000000001</v>
      </c>
      <c r="L10" s="5">
        <f t="shared" si="6"/>
        <v>-6148.18</v>
      </c>
      <c r="M10" s="5">
        <f t="shared" si="7"/>
        <v>0</v>
      </c>
      <c r="N10" s="29">
        <f t="shared" si="1"/>
        <v>-0.6596622685562253</v>
      </c>
      <c r="O10" s="29">
        <f t="shared" si="2"/>
        <v>-0.5359064843405382</v>
      </c>
      <c r="P10" s="29">
        <f t="shared" si="3"/>
        <v>-0.31082873163763514</v>
      </c>
      <c r="Q10" s="41"/>
    </row>
    <row r="11" spans="1:17" ht="18" customHeight="1">
      <c r="A11" s="89"/>
      <c r="B11" s="43" t="s">
        <v>11</v>
      </c>
      <c r="C11" s="4" t="s">
        <v>93</v>
      </c>
      <c r="D11" s="5">
        <v>127222.15999999999</v>
      </c>
      <c r="E11" s="5">
        <v>314766.5</v>
      </c>
      <c r="F11" s="5">
        <v>156403</v>
      </c>
      <c r="G11" s="5">
        <v>30756</v>
      </c>
      <c r="H11" s="5">
        <v>121632.77</v>
      </c>
      <c r="I11" s="5">
        <v>17282.34</v>
      </c>
      <c r="J11" s="5">
        <f t="shared" si="4"/>
        <v>-5589.389999999985</v>
      </c>
      <c r="K11" s="5">
        <f t="shared" si="5"/>
        <v>-34770.229999999996</v>
      </c>
      <c r="L11" s="5">
        <f t="shared" si="6"/>
        <v>-193133.72999999998</v>
      </c>
      <c r="M11" s="5">
        <f t="shared" si="7"/>
        <v>-13473.66</v>
      </c>
      <c r="N11" s="29">
        <f t="shared" si="1"/>
        <v>0.9560659086435886</v>
      </c>
      <c r="O11" s="29">
        <f t="shared" si="2"/>
        <v>0.7776882156991873</v>
      </c>
      <c r="P11" s="29">
        <f t="shared" si="3"/>
        <v>0.3864222209161394</v>
      </c>
      <c r="Q11" s="41"/>
    </row>
    <row r="12" spans="1:17" ht="18" customHeight="1">
      <c r="A12" s="89"/>
      <c r="B12" s="43" t="s">
        <v>15</v>
      </c>
      <c r="C12" s="4" t="s">
        <v>16</v>
      </c>
      <c r="D12" s="5">
        <v>62495.600000000006</v>
      </c>
      <c r="E12" s="5">
        <v>1083466.2</v>
      </c>
      <c r="F12" s="5">
        <v>77100</v>
      </c>
      <c r="G12" s="5">
        <v>9200</v>
      </c>
      <c r="H12" s="5">
        <v>39572.02</v>
      </c>
      <c r="I12" s="5">
        <v>1021.43</v>
      </c>
      <c r="J12" s="5">
        <f t="shared" si="4"/>
        <v>-22923.58000000001</v>
      </c>
      <c r="K12" s="5">
        <f t="shared" si="5"/>
        <v>-37527.98</v>
      </c>
      <c r="L12" s="5">
        <f t="shared" si="6"/>
        <v>-1043894.1799999999</v>
      </c>
      <c r="M12" s="5">
        <f t="shared" si="7"/>
        <v>-8178.57</v>
      </c>
      <c r="N12" s="29">
        <f t="shared" si="1"/>
        <v>0.633196897061553</v>
      </c>
      <c r="O12" s="29">
        <f t="shared" si="2"/>
        <v>0.5132557717250323</v>
      </c>
      <c r="P12" s="29">
        <f t="shared" si="3"/>
        <v>0.03652353898995649</v>
      </c>
      <c r="Q12" s="41"/>
    </row>
    <row r="13" spans="1:17" ht="18" customHeight="1">
      <c r="A13" s="89"/>
      <c r="B13" s="43" t="s">
        <v>75</v>
      </c>
      <c r="C13" s="4" t="s">
        <v>96</v>
      </c>
      <c r="D13" s="5">
        <v>379111.16000000003</v>
      </c>
      <c r="E13" s="5"/>
      <c r="F13" s="5"/>
      <c r="G13" s="5"/>
      <c r="H13" s="5">
        <v>0</v>
      </c>
      <c r="I13" s="5">
        <v>0</v>
      </c>
      <c r="J13" s="5">
        <f t="shared" si="4"/>
        <v>-379111.16000000003</v>
      </c>
      <c r="K13" s="5">
        <f t="shared" si="5"/>
        <v>0</v>
      </c>
      <c r="L13" s="5">
        <f t="shared" si="6"/>
        <v>0</v>
      </c>
      <c r="M13" s="5">
        <f t="shared" si="7"/>
        <v>0</v>
      </c>
      <c r="N13" s="29">
        <f t="shared" si="1"/>
        <v>0</v>
      </c>
      <c r="O13" s="29">
        <f t="shared" si="2"/>
      </c>
      <c r="P13" s="29">
        <f t="shared" si="3"/>
      </c>
      <c r="Q13" s="41"/>
    </row>
    <row r="14" spans="1:17" ht="18" customHeight="1">
      <c r="A14" s="89"/>
      <c r="B14" s="43" t="s">
        <v>15</v>
      </c>
      <c r="C14" s="4" t="s">
        <v>17</v>
      </c>
      <c r="D14" s="5">
        <v>1217773.2600000002</v>
      </c>
      <c r="E14" s="5">
        <v>2237196.9</v>
      </c>
      <c r="F14" s="5">
        <v>975000</v>
      </c>
      <c r="G14" s="5">
        <v>7200</v>
      </c>
      <c r="H14" s="5">
        <v>929955.85</v>
      </c>
      <c r="I14" s="5">
        <v>4686.49</v>
      </c>
      <c r="J14" s="5">
        <f t="shared" si="4"/>
        <v>-287817.41000000027</v>
      </c>
      <c r="K14" s="5">
        <f t="shared" si="5"/>
        <v>-45044.15000000002</v>
      </c>
      <c r="L14" s="5">
        <f t="shared" si="6"/>
        <v>-1307241.0499999998</v>
      </c>
      <c r="M14" s="5">
        <f t="shared" si="7"/>
        <v>-2513.51</v>
      </c>
      <c r="N14" s="29">
        <f t="shared" si="1"/>
        <v>0.7636527098648888</v>
      </c>
      <c r="O14" s="29">
        <f t="shared" si="2"/>
        <v>0.9538008717948717</v>
      </c>
      <c r="P14" s="29">
        <f t="shared" si="3"/>
        <v>0.4156790356718267</v>
      </c>
      <c r="Q14" s="41"/>
    </row>
    <row r="15" spans="1:17" ht="18" customHeight="1">
      <c r="A15" s="89"/>
      <c r="B15" s="43" t="s">
        <v>18</v>
      </c>
      <c r="C15" s="4" t="s">
        <v>19</v>
      </c>
      <c r="D15" s="5">
        <v>120163.91</v>
      </c>
      <c r="E15" s="5">
        <v>228385.6</v>
      </c>
      <c r="F15" s="5">
        <v>126580.6</v>
      </c>
      <c r="G15" s="5">
        <v>19110</v>
      </c>
      <c r="H15" s="5">
        <v>107577.38</v>
      </c>
      <c r="I15" s="5">
        <v>11930.46</v>
      </c>
      <c r="J15" s="5">
        <f t="shared" si="4"/>
        <v>-12586.529999999999</v>
      </c>
      <c r="K15" s="5">
        <f t="shared" si="5"/>
        <v>-19003.22</v>
      </c>
      <c r="L15" s="5">
        <f t="shared" si="6"/>
        <v>-120808.22</v>
      </c>
      <c r="M15" s="5">
        <f t="shared" si="7"/>
        <v>-7179.540000000001</v>
      </c>
      <c r="N15" s="29">
        <f t="shared" si="1"/>
        <v>0.8952553225007409</v>
      </c>
      <c r="O15" s="29">
        <f t="shared" si="2"/>
        <v>0.8498725713102956</v>
      </c>
      <c r="P15" s="29">
        <f t="shared" si="3"/>
        <v>0.4710339881323516</v>
      </c>
      <c r="Q15" s="41"/>
    </row>
    <row r="16" spans="1:17" ht="18" customHeight="1">
      <c r="A16" s="89"/>
      <c r="B16" s="43" t="s">
        <v>15</v>
      </c>
      <c r="C16" s="4" t="s">
        <v>20</v>
      </c>
      <c r="D16" s="5">
        <v>18.06</v>
      </c>
      <c r="E16" s="5"/>
      <c r="F16" s="5"/>
      <c r="G16" s="5"/>
      <c r="H16" s="5">
        <v>-0.1</v>
      </c>
      <c r="I16" s="5">
        <v>0</v>
      </c>
      <c r="J16" s="5">
        <f t="shared" si="4"/>
        <v>-18.16</v>
      </c>
      <c r="K16" s="5">
        <f t="shared" si="5"/>
        <v>-0.1</v>
      </c>
      <c r="L16" s="5">
        <f t="shared" si="6"/>
        <v>-0.1</v>
      </c>
      <c r="M16" s="5">
        <f t="shared" si="7"/>
        <v>0</v>
      </c>
      <c r="N16" s="29">
        <f t="shared" si="1"/>
        <v>-0.005537098560354375</v>
      </c>
      <c r="O16" s="29">
        <f t="shared" si="2"/>
      </c>
      <c r="P16" s="29">
        <f t="shared" si="3"/>
      </c>
      <c r="Q16" s="41"/>
    </row>
    <row r="17" spans="1:17" ht="18" customHeight="1">
      <c r="A17" s="90"/>
      <c r="B17" s="60"/>
      <c r="C17" s="61" t="s">
        <v>9</v>
      </c>
      <c r="D17" s="25">
        <f aca="true" t="shared" si="8" ref="D17:I17">SUM(D6:D16)</f>
        <v>8421273.96</v>
      </c>
      <c r="E17" s="25">
        <f t="shared" si="8"/>
        <v>20001705.400000002</v>
      </c>
      <c r="F17" s="25">
        <f t="shared" si="8"/>
        <v>7870801.6</v>
      </c>
      <c r="G17" s="25">
        <f t="shared" si="8"/>
        <v>97374.6</v>
      </c>
      <c r="H17" s="25">
        <f t="shared" si="8"/>
        <v>7322190.239999998</v>
      </c>
      <c r="I17" s="25">
        <f t="shared" si="8"/>
        <v>61458.829999999994</v>
      </c>
      <c r="J17" s="25">
        <f t="shared" si="4"/>
        <v>-1099083.7200000025</v>
      </c>
      <c r="K17" s="25">
        <f t="shared" si="5"/>
        <v>-548611.3600000013</v>
      </c>
      <c r="L17" s="25">
        <f t="shared" si="6"/>
        <v>-12679515.160000004</v>
      </c>
      <c r="M17" s="25">
        <f>I17-G17</f>
        <v>-35915.77000000001</v>
      </c>
      <c r="N17" s="62">
        <f t="shared" si="1"/>
        <v>0.8694872384842824</v>
      </c>
      <c r="O17" s="62">
        <f t="shared" si="2"/>
        <v>0.9302979051079115</v>
      </c>
      <c r="P17" s="62">
        <f t="shared" si="3"/>
        <v>0.36607829650365703</v>
      </c>
      <c r="Q17" s="41"/>
    </row>
    <row r="18" spans="1:17" ht="18" customHeight="1">
      <c r="A18" s="44" t="s">
        <v>72</v>
      </c>
      <c r="B18" s="43" t="s">
        <v>22</v>
      </c>
      <c r="C18" s="4" t="s">
        <v>23</v>
      </c>
      <c r="D18" s="5">
        <v>32</v>
      </c>
      <c r="E18" s="5">
        <v>140</v>
      </c>
      <c r="F18" s="5">
        <v>80</v>
      </c>
      <c r="G18" s="5">
        <v>10</v>
      </c>
      <c r="H18" s="5">
        <v>36</v>
      </c>
      <c r="I18" s="5">
        <v>4</v>
      </c>
      <c r="J18" s="5">
        <f t="shared" si="4"/>
        <v>4</v>
      </c>
      <c r="K18" s="5">
        <f t="shared" si="5"/>
        <v>-44</v>
      </c>
      <c r="L18" s="5">
        <f t="shared" si="6"/>
        <v>-104</v>
      </c>
      <c r="M18" s="5">
        <f t="shared" si="7"/>
        <v>-6</v>
      </c>
      <c r="N18" s="29">
        <f t="shared" si="1"/>
        <v>1.125</v>
      </c>
      <c r="O18" s="29">
        <f t="shared" si="2"/>
        <v>0.45</v>
      </c>
      <c r="P18" s="29">
        <f t="shared" si="3"/>
        <v>0.2571428571428571</v>
      </c>
      <c r="Q18" s="41"/>
    </row>
    <row r="19" spans="1:17" ht="18" customHeight="1">
      <c r="A19" s="44" t="s">
        <v>21</v>
      </c>
      <c r="B19" s="43" t="s">
        <v>22</v>
      </c>
      <c r="C19" s="4" t="s">
        <v>92</v>
      </c>
      <c r="D19" s="5">
        <v>135</v>
      </c>
      <c r="E19" s="5"/>
      <c r="F19" s="5"/>
      <c r="G19" s="5"/>
      <c r="H19" s="5">
        <v>60.8</v>
      </c>
      <c r="I19" s="5">
        <v>5.6</v>
      </c>
      <c r="J19" s="5">
        <f t="shared" si="4"/>
        <v>-74.2</v>
      </c>
      <c r="K19" s="5">
        <f t="shared" si="5"/>
        <v>60.8</v>
      </c>
      <c r="L19" s="5">
        <f t="shared" si="6"/>
        <v>60.8</v>
      </c>
      <c r="M19" s="5">
        <f t="shared" si="7"/>
        <v>5.6</v>
      </c>
      <c r="N19" s="29">
        <f t="shared" si="1"/>
        <v>0.45037037037037037</v>
      </c>
      <c r="O19" s="29">
        <f t="shared" si="2"/>
      </c>
      <c r="P19" s="29">
        <f t="shared" si="3"/>
      </c>
      <c r="Q19" s="41"/>
    </row>
    <row r="20" spans="1:17" ht="31.5">
      <c r="A20" s="45" t="s">
        <v>25</v>
      </c>
      <c r="B20" s="46" t="s">
        <v>74</v>
      </c>
      <c r="C20" s="4" t="s">
        <v>26</v>
      </c>
      <c r="D20" s="5">
        <v>544</v>
      </c>
      <c r="E20" s="5">
        <v>969.6</v>
      </c>
      <c r="F20" s="5">
        <v>572</v>
      </c>
      <c r="G20" s="5">
        <v>70</v>
      </c>
      <c r="H20" s="5">
        <v>-2.48</v>
      </c>
      <c r="I20" s="5">
        <v>0</v>
      </c>
      <c r="J20" s="5">
        <f t="shared" si="4"/>
        <v>-546.48</v>
      </c>
      <c r="K20" s="5">
        <f t="shared" si="5"/>
        <v>-574.48</v>
      </c>
      <c r="L20" s="5">
        <f t="shared" si="6"/>
        <v>-972.08</v>
      </c>
      <c r="M20" s="5">
        <f t="shared" si="7"/>
        <v>-70</v>
      </c>
      <c r="N20" s="29">
        <f t="shared" si="1"/>
        <v>-0.0045588235294117645</v>
      </c>
      <c r="O20" s="29">
        <f t="shared" si="2"/>
        <v>-0.004335664335664335</v>
      </c>
      <c r="P20" s="29">
        <f t="shared" si="3"/>
        <v>-0.0025577557755775576</v>
      </c>
      <c r="Q20" s="41"/>
    </row>
    <row r="21" spans="1:17" ht="18" customHeight="1">
      <c r="A21" s="44" t="s">
        <v>24</v>
      </c>
      <c r="B21" s="43" t="s">
        <v>11</v>
      </c>
      <c r="C21" s="4" t="s">
        <v>76</v>
      </c>
      <c r="D21" s="5">
        <v>35</v>
      </c>
      <c r="E21" s="5">
        <v>120</v>
      </c>
      <c r="F21" s="5">
        <v>55</v>
      </c>
      <c r="G21" s="5">
        <v>15</v>
      </c>
      <c r="H21" s="5">
        <v>80</v>
      </c>
      <c r="I21" s="5">
        <v>25</v>
      </c>
      <c r="J21" s="5">
        <f t="shared" si="4"/>
        <v>45</v>
      </c>
      <c r="K21" s="5">
        <f t="shared" si="5"/>
        <v>25</v>
      </c>
      <c r="L21" s="5">
        <f t="shared" si="6"/>
        <v>-40</v>
      </c>
      <c r="M21" s="5">
        <f t="shared" si="7"/>
        <v>10</v>
      </c>
      <c r="N21" s="29">
        <f t="shared" si="1"/>
        <v>2.2857142857142856</v>
      </c>
      <c r="O21" s="29">
        <f t="shared" si="2"/>
        <v>1.4545454545454546</v>
      </c>
      <c r="P21" s="29">
        <f t="shared" si="3"/>
        <v>0.6666666666666666</v>
      </c>
      <c r="Q21" s="41"/>
    </row>
    <row r="22" spans="1:17" ht="28.5" customHeight="1">
      <c r="A22" s="93"/>
      <c r="B22" s="93"/>
      <c r="C22" s="34" t="s">
        <v>27</v>
      </c>
      <c r="D22" s="33">
        <f>D26+D29+D37+D47+D49+D54+D57+D59+D68</f>
        <v>3084055.669999999</v>
      </c>
      <c r="E22" s="33">
        <f>E26+E29+E37+E47+E49+E54+E57+E59+E68</f>
        <v>6567862.88</v>
      </c>
      <c r="F22" s="33">
        <f>F26+F29+F37+F47+F49+F54+F57+F59+F68</f>
        <v>3577608.11</v>
      </c>
      <c r="G22" s="33">
        <f>G26+G29+G37+G47+G49+G54+G57+G59+G68</f>
        <v>471004.5</v>
      </c>
      <c r="H22" s="33">
        <f>H26+H29+H37+H47+H49+H54+H57+H59+H68</f>
        <v>3861775.59</v>
      </c>
      <c r="I22" s="33">
        <f>I26+I29+I37+I47+I49+I54+I57+I59+I68</f>
        <v>405802.88</v>
      </c>
      <c r="J22" s="33">
        <f t="shared" si="4"/>
        <v>777719.9200000009</v>
      </c>
      <c r="K22" s="33">
        <f t="shared" si="5"/>
        <v>284167.48</v>
      </c>
      <c r="L22" s="33">
        <f t="shared" si="6"/>
        <v>-2706087.29</v>
      </c>
      <c r="M22" s="33">
        <f t="shared" si="7"/>
        <v>-65201.619999999995</v>
      </c>
      <c r="N22" s="59">
        <f t="shared" si="1"/>
        <v>1.2521744103276842</v>
      </c>
      <c r="O22" s="59">
        <f t="shared" si="2"/>
        <v>1.0794294599248322</v>
      </c>
      <c r="P22" s="59">
        <f t="shared" si="3"/>
        <v>0.5879805441370602</v>
      </c>
      <c r="Q22" s="41"/>
    </row>
    <row r="23" spans="1:16" ht="18" customHeight="1">
      <c r="A23" s="88" t="s">
        <v>25</v>
      </c>
      <c r="B23" s="85" t="s">
        <v>74</v>
      </c>
      <c r="C23" s="6" t="s">
        <v>94</v>
      </c>
      <c r="D23" s="5">
        <v>61846.35</v>
      </c>
      <c r="E23" s="5">
        <f>135475.5+25225.6</f>
        <v>160701.1</v>
      </c>
      <c r="F23" s="5">
        <v>87650</v>
      </c>
      <c r="G23" s="5">
        <v>13600</v>
      </c>
      <c r="H23" s="5">
        <v>88976.42</v>
      </c>
      <c r="I23" s="5">
        <v>10541.37</v>
      </c>
      <c r="J23" s="7">
        <f t="shared" si="4"/>
        <v>27130.07</v>
      </c>
      <c r="K23" s="7">
        <f t="shared" si="5"/>
        <v>1326.4199999999983</v>
      </c>
      <c r="L23" s="7">
        <f t="shared" si="6"/>
        <v>-71724.68000000001</v>
      </c>
      <c r="M23" s="7">
        <f t="shared" si="7"/>
        <v>-3058.629999999999</v>
      </c>
      <c r="N23" s="30">
        <f t="shared" si="1"/>
        <v>1.4386688947690527</v>
      </c>
      <c r="O23" s="30">
        <f t="shared" si="2"/>
        <v>1.0151331431831145</v>
      </c>
      <c r="P23" s="30">
        <f t="shared" si="3"/>
        <v>0.5536764838572977</v>
      </c>
    </row>
    <row r="24" spans="1:16" ht="18" customHeight="1">
      <c r="A24" s="89"/>
      <c r="B24" s="86"/>
      <c r="C24" s="6" t="s">
        <v>28</v>
      </c>
      <c r="D24" s="3">
        <v>3971.23</v>
      </c>
      <c r="E24" s="5">
        <v>39519.1</v>
      </c>
      <c r="F24" s="5">
        <v>39519.1</v>
      </c>
      <c r="G24" s="5">
        <v>0</v>
      </c>
      <c r="H24" s="5">
        <v>39519.14</v>
      </c>
      <c r="I24" s="5">
        <v>0</v>
      </c>
      <c r="J24" s="5">
        <f t="shared" si="4"/>
        <v>35547.909999999996</v>
      </c>
      <c r="K24" s="5">
        <f t="shared" si="5"/>
        <v>0.040000000000873115</v>
      </c>
      <c r="L24" s="5">
        <f t="shared" si="6"/>
        <v>0.040000000000873115</v>
      </c>
      <c r="M24" s="5">
        <f t="shared" si="7"/>
        <v>0</v>
      </c>
      <c r="N24" s="30">
        <f t="shared" si="1"/>
        <v>9.951360157935953</v>
      </c>
      <c r="O24" s="30">
        <f t="shared" si="2"/>
        <v>1.0000010121687994</v>
      </c>
      <c r="P24" s="30">
        <f t="shared" si="3"/>
        <v>1.0000010121687994</v>
      </c>
    </row>
    <row r="25" spans="1:16" ht="18" customHeight="1">
      <c r="A25" s="89"/>
      <c r="B25" s="86"/>
      <c r="C25" s="6" t="s">
        <v>50</v>
      </c>
      <c r="D25" s="3">
        <v>45649.28999999999</v>
      </c>
      <c r="E25" s="5">
        <f>110819.4+14383.9-8662.9</f>
        <v>116540.4</v>
      </c>
      <c r="F25" s="5">
        <v>57150</v>
      </c>
      <c r="G25" s="5">
        <v>9000</v>
      </c>
      <c r="H25" s="5">
        <v>62847.84</v>
      </c>
      <c r="I25" s="5">
        <v>6046.349999999999</v>
      </c>
      <c r="J25" s="7">
        <f t="shared" si="4"/>
        <v>17198.550000000003</v>
      </c>
      <c r="K25" s="7">
        <f t="shared" si="5"/>
        <v>5697.8399999999965</v>
      </c>
      <c r="L25" s="7">
        <f t="shared" si="6"/>
        <v>-53692.56</v>
      </c>
      <c r="M25" s="7">
        <f t="shared" si="7"/>
        <v>-2953.6500000000005</v>
      </c>
      <c r="N25" s="30">
        <f t="shared" si="1"/>
        <v>1.3767539429419384</v>
      </c>
      <c r="O25" s="30">
        <f t="shared" si="2"/>
        <v>1.0996997375328084</v>
      </c>
      <c r="P25" s="30">
        <f t="shared" si="3"/>
        <v>0.539279425847174</v>
      </c>
    </row>
    <row r="26" spans="1:16" ht="18" customHeight="1">
      <c r="A26" s="90"/>
      <c r="B26" s="87"/>
      <c r="C26" s="61" t="s">
        <v>9</v>
      </c>
      <c r="D26" s="25">
        <f aca="true" t="shared" si="9" ref="D26:I26">SUM(D23:D25)</f>
        <v>111466.87</v>
      </c>
      <c r="E26" s="25">
        <f t="shared" si="9"/>
        <v>316760.6</v>
      </c>
      <c r="F26" s="25">
        <f t="shared" si="9"/>
        <v>184319.1</v>
      </c>
      <c r="G26" s="25">
        <f t="shared" si="9"/>
        <v>22600</v>
      </c>
      <c r="H26" s="25">
        <f t="shared" si="9"/>
        <v>191343.4</v>
      </c>
      <c r="I26" s="25">
        <f t="shared" si="9"/>
        <v>16587.72</v>
      </c>
      <c r="J26" s="25">
        <f t="shared" si="4"/>
        <v>79876.53</v>
      </c>
      <c r="K26" s="25">
        <f t="shared" si="5"/>
        <v>7024.299999999988</v>
      </c>
      <c r="L26" s="25">
        <f t="shared" si="6"/>
        <v>-125417.19999999998</v>
      </c>
      <c r="M26" s="25">
        <f t="shared" si="7"/>
        <v>-6012.279999999999</v>
      </c>
      <c r="N26" s="63">
        <f t="shared" si="1"/>
        <v>1.7165943566909163</v>
      </c>
      <c r="O26" s="63">
        <f t="shared" si="2"/>
        <v>1.0381094525743668</v>
      </c>
      <c r="P26" s="63">
        <f t="shared" si="3"/>
        <v>0.6040631315889666</v>
      </c>
    </row>
    <row r="27" spans="1:16" ht="18" customHeight="1">
      <c r="A27" s="69">
        <v>951</v>
      </c>
      <c r="B27" s="69" t="s">
        <v>11</v>
      </c>
      <c r="C27" s="8" t="s">
        <v>29</v>
      </c>
      <c r="D27" s="5">
        <v>43652.65</v>
      </c>
      <c r="E27" s="5">
        <v>91712.1</v>
      </c>
      <c r="F27" s="5">
        <v>47723</v>
      </c>
      <c r="G27" s="5">
        <v>5900</v>
      </c>
      <c r="H27" s="5">
        <v>65200.04</v>
      </c>
      <c r="I27" s="5">
        <v>12239.11</v>
      </c>
      <c r="J27" s="5">
        <f t="shared" si="4"/>
        <v>21547.39</v>
      </c>
      <c r="K27" s="5">
        <f t="shared" si="5"/>
        <v>17477.04</v>
      </c>
      <c r="L27" s="5">
        <f t="shared" si="6"/>
        <v>-26512.060000000005</v>
      </c>
      <c r="M27" s="5">
        <f t="shared" si="7"/>
        <v>6339.110000000001</v>
      </c>
      <c r="N27" s="30">
        <f t="shared" si="1"/>
        <v>1.493610124471252</v>
      </c>
      <c r="O27" s="30">
        <f t="shared" si="2"/>
        <v>1.3662183852649665</v>
      </c>
      <c r="P27" s="30">
        <f t="shared" si="3"/>
        <v>0.7109208054335251</v>
      </c>
    </row>
    <row r="28" spans="1:16" ht="18" customHeight="1">
      <c r="A28" s="69"/>
      <c r="B28" s="69"/>
      <c r="C28" s="6" t="s">
        <v>30</v>
      </c>
      <c r="D28" s="5">
        <v>4601.11</v>
      </c>
      <c r="E28" s="5">
        <v>14224.9</v>
      </c>
      <c r="F28" s="5">
        <v>4466.6</v>
      </c>
      <c r="G28" s="5">
        <v>1557</v>
      </c>
      <c r="H28" s="5">
        <v>5590.86</v>
      </c>
      <c r="I28" s="5">
        <v>916.96</v>
      </c>
      <c r="J28" s="5">
        <f t="shared" si="4"/>
        <v>989.75</v>
      </c>
      <c r="K28" s="5">
        <f t="shared" si="5"/>
        <v>1124.2599999999993</v>
      </c>
      <c r="L28" s="5">
        <f t="shared" si="6"/>
        <v>-8634.04</v>
      </c>
      <c r="M28" s="5">
        <f t="shared" si="7"/>
        <v>-640.04</v>
      </c>
      <c r="N28" s="30">
        <f t="shared" si="1"/>
        <v>1.2151111362258238</v>
      </c>
      <c r="O28" s="30">
        <f t="shared" si="2"/>
        <v>1.251703756772489</v>
      </c>
      <c r="P28" s="30">
        <f t="shared" si="3"/>
        <v>0.3930333429408994</v>
      </c>
    </row>
    <row r="29" spans="1:16" ht="15.75">
      <c r="A29" s="69"/>
      <c r="B29" s="69"/>
      <c r="C29" s="64" t="s">
        <v>9</v>
      </c>
      <c r="D29" s="25">
        <f aca="true" t="shared" si="10" ref="D29:I29">D27+D28</f>
        <v>48253.76</v>
      </c>
      <c r="E29" s="25">
        <f t="shared" si="10"/>
        <v>105937</v>
      </c>
      <c r="F29" s="25">
        <f t="shared" si="10"/>
        <v>52189.6</v>
      </c>
      <c r="G29" s="25">
        <f t="shared" si="10"/>
        <v>7457</v>
      </c>
      <c r="H29" s="25">
        <f t="shared" si="10"/>
        <v>70790.9</v>
      </c>
      <c r="I29" s="25">
        <f t="shared" si="10"/>
        <v>13156.07</v>
      </c>
      <c r="J29" s="25">
        <f t="shared" si="4"/>
        <v>22537.139999999992</v>
      </c>
      <c r="K29" s="25">
        <f t="shared" si="5"/>
        <v>18601.299999999996</v>
      </c>
      <c r="L29" s="25">
        <f t="shared" si="6"/>
        <v>-35146.100000000006</v>
      </c>
      <c r="M29" s="25">
        <f t="shared" si="7"/>
        <v>5699.07</v>
      </c>
      <c r="N29" s="63">
        <f t="shared" si="1"/>
        <v>1.4670545880776957</v>
      </c>
      <c r="O29" s="63">
        <f t="shared" si="2"/>
        <v>1.356417753728712</v>
      </c>
      <c r="P29" s="63">
        <f t="shared" si="3"/>
        <v>0.6682358382812426</v>
      </c>
    </row>
    <row r="30" spans="1:16" ht="18.75" customHeight="1">
      <c r="A30" s="83" t="s">
        <v>31</v>
      </c>
      <c r="B30" s="69" t="s">
        <v>32</v>
      </c>
      <c r="C30" s="6" t="s">
        <v>33</v>
      </c>
      <c r="D30" s="3">
        <v>1336</v>
      </c>
      <c r="E30" s="3">
        <v>496</v>
      </c>
      <c r="F30" s="3">
        <f>G30</f>
        <v>0</v>
      </c>
      <c r="G30" s="3">
        <v>0</v>
      </c>
      <c r="H30" s="49">
        <v>3566.51</v>
      </c>
      <c r="I30" s="49">
        <v>0</v>
      </c>
      <c r="J30" s="3">
        <f t="shared" si="4"/>
        <v>2230.51</v>
      </c>
      <c r="K30" s="3">
        <f t="shared" si="5"/>
        <v>3566.51</v>
      </c>
      <c r="L30" s="3">
        <f t="shared" si="6"/>
        <v>3070.51</v>
      </c>
      <c r="M30" s="3">
        <f t="shared" si="7"/>
        <v>0</v>
      </c>
      <c r="N30" s="30">
        <f t="shared" si="1"/>
        <v>2.669543413173653</v>
      </c>
      <c r="O30" s="30">
        <f t="shared" si="2"/>
      </c>
      <c r="P30" s="30">
        <f t="shared" si="3"/>
        <v>7.1905443548387105</v>
      </c>
    </row>
    <row r="31" spans="1:16" ht="17.25" customHeight="1">
      <c r="A31" s="83"/>
      <c r="B31" s="69"/>
      <c r="C31" s="9" t="s">
        <v>34</v>
      </c>
      <c r="D31" s="3">
        <v>37637.75</v>
      </c>
      <c r="E31" s="3">
        <v>100081.7</v>
      </c>
      <c r="F31" s="3">
        <v>54500</v>
      </c>
      <c r="G31" s="3">
        <v>7500</v>
      </c>
      <c r="H31" s="5">
        <v>46677.92</v>
      </c>
      <c r="I31" s="5">
        <v>3030.89</v>
      </c>
      <c r="J31" s="3">
        <f t="shared" si="4"/>
        <v>9040.169999999998</v>
      </c>
      <c r="K31" s="3">
        <f t="shared" si="5"/>
        <v>-7822.080000000002</v>
      </c>
      <c r="L31" s="3">
        <f t="shared" si="6"/>
        <v>-53403.78</v>
      </c>
      <c r="M31" s="3">
        <f t="shared" si="7"/>
        <v>-4469.110000000001</v>
      </c>
      <c r="N31" s="30">
        <f t="shared" si="1"/>
        <v>1.2401889060849811</v>
      </c>
      <c r="O31" s="30">
        <f t="shared" si="2"/>
        <v>0.8564755963302751</v>
      </c>
      <c r="P31" s="30">
        <f t="shared" si="3"/>
        <v>0.46639815270923657</v>
      </c>
    </row>
    <row r="32" spans="1:16" ht="15.75">
      <c r="A32" s="83"/>
      <c r="B32" s="69"/>
      <c r="C32" s="8" t="s">
        <v>35</v>
      </c>
      <c r="D32" s="3">
        <v>1312.59</v>
      </c>
      <c r="E32" s="3">
        <v>557</v>
      </c>
      <c r="F32" s="3">
        <v>324.9</v>
      </c>
      <c r="G32" s="3">
        <v>46.4</v>
      </c>
      <c r="H32" s="5">
        <v>4959.71</v>
      </c>
      <c r="I32" s="5">
        <v>604.09</v>
      </c>
      <c r="J32" s="3">
        <f t="shared" si="4"/>
        <v>3647.12</v>
      </c>
      <c r="K32" s="3">
        <f t="shared" si="5"/>
        <v>4634.81</v>
      </c>
      <c r="L32" s="3">
        <f t="shared" si="6"/>
        <v>4402.71</v>
      </c>
      <c r="M32" s="3">
        <f t="shared" si="7"/>
        <v>557.69</v>
      </c>
      <c r="N32" s="30">
        <f t="shared" si="1"/>
        <v>3.7785675648907886</v>
      </c>
      <c r="O32" s="30">
        <f t="shared" si="2"/>
        <v>15.265343182517698</v>
      </c>
      <c r="P32" s="30">
        <f t="shared" si="3"/>
        <v>8.904326750448833</v>
      </c>
    </row>
    <row r="33" spans="1:16" ht="15.75">
      <c r="A33" s="83"/>
      <c r="B33" s="69"/>
      <c r="C33" s="8" t="s">
        <v>36</v>
      </c>
      <c r="D33" s="5">
        <f>D34+D36+D35</f>
        <v>33289.53</v>
      </c>
      <c r="E33" s="5">
        <f>E34+E36+E35</f>
        <v>200264</v>
      </c>
      <c r="F33" s="5">
        <f>F34+F36+F35</f>
        <v>160521.9</v>
      </c>
      <c r="G33" s="5">
        <f>G34+G36+G35</f>
        <v>5437.5</v>
      </c>
      <c r="H33" s="5">
        <v>161832.09999999998</v>
      </c>
      <c r="I33" s="5">
        <v>6027.349999999999</v>
      </c>
      <c r="J33" s="10">
        <f t="shared" si="4"/>
        <v>128542.56999999998</v>
      </c>
      <c r="K33" s="10">
        <f t="shared" si="5"/>
        <v>1310.1999999999825</v>
      </c>
      <c r="L33" s="10">
        <f t="shared" si="6"/>
        <v>-38431.90000000002</v>
      </c>
      <c r="M33" s="10">
        <f t="shared" si="7"/>
        <v>589.8499999999995</v>
      </c>
      <c r="N33" s="30">
        <f t="shared" si="1"/>
        <v>4.861351301745623</v>
      </c>
      <c r="O33" s="30">
        <f t="shared" si="2"/>
        <v>1.0081621261647165</v>
      </c>
      <c r="P33" s="30">
        <f t="shared" si="3"/>
        <v>0.8080938161626652</v>
      </c>
    </row>
    <row r="34" spans="1:16" ht="15.75">
      <c r="A34" s="83"/>
      <c r="B34" s="69"/>
      <c r="C34" s="11" t="s">
        <v>37</v>
      </c>
      <c r="D34" s="12">
        <v>13902.55</v>
      </c>
      <c r="E34" s="12">
        <f>48594.6+85630.3+29092.9</f>
        <v>163317.8</v>
      </c>
      <c r="F34" s="12">
        <v>140250.80000000002</v>
      </c>
      <c r="G34" s="12">
        <v>2893.1</v>
      </c>
      <c r="H34" s="50">
        <v>137091.94</v>
      </c>
      <c r="I34" s="50">
        <v>2695.33</v>
      </c>
      <c r="J34" s="12">
        <f t="shared" si="4"/>
        <v>123189.39</v>
      </c>
      <c r="K34" s="12">
        <f t="shared" si="5"/>
        <v>-3158.860000000015</v>
      </c>
      <c r="L34" s="12">
        <f t="shared" si="6"/>
        <v>-26225.859999999986</v>
      </c>
      <c r="M34" s="12">
        <f t="shared" si="7"/>
        <v>-197.76999999999998</v>
      </c>
      <c r="N34" s="30">
        <f t="shared" si="1"/>
        <v>9.860920478617233</v>
      </c>
      <c r="O34" s="30">
        <f t="shared" si="2"/>
        <v>0.9774770625194293</v>
      </c>
      <c r="P34" s="30">
        <f t="shared" si="3"/>
        <v>0.83941823855085</v>
      </c>
    </row>
    <row r="35" spans="1:16" ht="15.75">
      <c r="A35" s="83"/>
      <c r="B35" s="69"/>
      <c r="C35" s="11" t="s">
        <v>38</v>
      </c>
      <c r="D35" s="12">
        <v>1365.67</v>
      </c>
      <c r="E35" s="51">
        <v>1867.8</v>
      </c>
      <c r="F35" s="51">
        <v>160.3</v>
      </c>
      <c r="G35" s="51">
        <v>0</v>
      </c>
      <c r="H35" s="50">
        <v>918.33</v>
      </c>
      <c r="I35" s="50">
        <v>0</v>
      </c>
      <c r="J35" s="12">
        <f t="shared" si="4"/>
        <v>-447.34000000000003</v>
      </c>
      <c r="K35" s="12">
        <f t="shared" si="5"/>
        <v>758.03</v>
      </c>
      <c r="L35" s="12">
        <f t="shared" si="6"/>
        <v>-949.4699999999999</v>
      </c>
      <c r="M35" s="12">
        <f t="shared" si="7"/>
        <v>0</v>
      </c>
      <c r="N35" s="30">
        <f t="shared" si="1"/>
        <v>0.672439169052553</v>
      </c>
      <c r="O35" s="30">
        <f t="shared" si="2"/>
        <v>5.72882096069869</v>
      </c>
      <c r="P35" s="30">
        <f t="shared" si="3"/>
        <v>0.4916639897205269</v>
      </c>
    </row>
    <row r="36" spans="1:16" ht="15.75">
      <c r="A36" s="83"/>
      <c r="B36" s="69"/>
      <c r="C36" s="11" t="s">
        <v>39</v>
      </c>
      <c r="D36" s="25">
        <v>18021.31</v>
      </c>
      <c r="E36" s="51">
        <f>35078.4+85630.3-85630.3</f>
        <v>35078.40000000001</v>
      </c>
      <c r="F36" s="51">
        <v>20110.8</v>
      </c>
      <c r="G36" s="51">
        <v>2544.4</v>
      </c>
      <c r="H36" s="52">
        <v>23821.83</v>
      </c>
      <c r="I36" s="50">
        <v>3332.0199999999995</v>
      </c>
      <c r="J36" s="12">
        <f t="shared" si="4"/>
        <v>5800.52</v>
      </c>
      <c r="K36" s="12">
        <f t="shared" si="5"/>
        <v>3711.0300000000025</v>
      </c>
      <c r="L36" s="12">
        <f t="shared" si="6"/>
        <v>-11256.570000000007</v>
      </c>
      <c r="M36" s="12">
        <f t="shared" si="7"/>
        <v>787.6199999999994</v>
      </c>
      <c r="N36" s="30">
        <f t="shared" si="1"/>
        <v>1.3218700527320155</v>
      </c>
      <c r="O36" s="30">
        <f t="shared" si="2"/>
        <v>1.184529208186646</v>
      </c>
      <c r="P36" s="30">
        <f t="shared" si="3"/>
        <v>0.6791025246305418</v>
      </c>
    </row>
    <row r="37" spans="1:16" ht="15.75">
      <c r="A37" s="83"/>
      <c r="B37" s="83"/>
      <c r="C37" s="64" t="s">
        <v>9</v>
      </c>
      <c r="D37" s="25">
        <f aca="true" t="shared" si="11" ref="D37:I37">SUM(D30:D33)</f>
        <v>73575.87</v>
      </c>
      <c r="E37" s="25">
        <f t="shared" si="11"/>
        <v>301398.7</v>
      </c>
      <c r="F37" s="25">
        <f t="shared" si="11"/>
        <v>215346.8</v>
      </c>
      <c r="G37" s="25">
        <f t="shared" si="11"/>
        <v>12983.9</v>
      </c>
      <c r="H37" s="25">
        <f t="shared" si="11"/>
        <v>217036.24</v>
      </c>
      <c r="I37" s="25">
        <f t="shared" si="11"/>
        <v>9662.33</v>
      </c>
      <c r="J37" s="25">
        <f t="shared" si="4"/>
        <v>143460.37</v>
      </c>
      <c r="K37" s="25">
        <f t="shared" si="5"/>
        <v>1689.4400000000023</v>
      </c>
      <c r="L37" s="25">
        <f t="shared" si="6"/>
        <v>-84362.46000000002</v>
      </c>
      <c r="M37" s="25">
        <f t="shared" si="7"/>
        <v>-3321.5699999999997</v>
      </c>
      <c r="N37" s="63">
        <f aca="true" t="shared" si="12" ref="N37:N67">_xlfn.IFERROR(H37/D37,"")</f>
        <v>2.94982906760056</v>
      </c>
      <c r="O37" s="63">
        <f aca="true" t="shared" si="13" ref="O37:O67">_xlfn.IFERROR(H37/F37,"")</f>
        <v>1.0078452059654475</v>
      </c>
      <c r="P37" s="63">
        <f aca="true" t="shared" si="14" ref="P37:P67">_xlfn.IFERROR(H37/E37,"")</f>
        <v>0.7200968020100948</v>
      </c>
    </row>
    <row r="38" spans="1:16" ht="31.5">
      <c r="A38" s="83" t="s">
        <v>73</v>
      </c>
      <c r="B38" s="69" t="s">
        <v>15</v>
      </c>
      <c r="C38" s="8" t="s">
        <v>41</v>
      </c>
      <c r="D38" s="5">
        <v>178312.44</v>
      </c>
      <c r="E38" s="5">
        <v>326627.4</v>
      </c>
      <c r="F38" s="5">
        <v>179400.5</v>
      </c>
      <c r="G38" s="5">
        <v>22400</v>
      </c>
      <c r="H38" s="5">
        <v>165120.87999999998</v>
      </c>
      <c r="I38" s="5">
        <v>6470.799999999999</v>
      </c>
      <c r="J38" s="10">
        <f t="shared" si="4"/>
        <v>-13191.560000000027</v>
      </c>
      <c r="K38" s="10">
        <f t="shared" si="5"/>
        <v>-14279.620000000024</v>
      </c>
      <c r="L38" s="10">
        <f t="shared" si="6"/>
        <v>-161506.52000000005</v>
      </c>
      <c r="M38" s="10">
        <f t="shared" si="7"/>
        <v>-15929.2</v>
      </c>
      <c r="N38" s="30">
        <f t="shared" si="12"/>
        <v>0.9260199680964489</v>
      </c>
      <c r="O38" s="30">
        <f t="shared" si="13"/>
        <v>0.9204036778046882</v>
      </c>
      <c r="P38" s="30">
        <f t="shared" si="14"/>
        <v>0.5055328487444715</v>
      </c>
    </row>
    <row r="39" spans="1:16" ht="18" customHeight="1">
      <c r="A39" s="83"/>
      <c r="B39" s="69"/>
      <c r="C39" s="8" t="s">
        <v>42</v>
      </c>
      <c r="D39" s="5">
        <v>50419.43</v>
      </c>
      <c r="E39" s="5">
        <f>245061.4+9204.6</f>
        <v>254266</v>
      </c>
      <c r="F39" s="5">
        <v>114104.6</v>
      </c>
      <c r="G39" s="5">
        <v>3600</v>
      </c>
      <c r="H39" s="5">
        <v>162804.02000000002</v>
      </c>
      <c r="I39" s="5">
        <v>3161.7</v>
      </c>
      <c r="J39" s="10">
        <f t="shared" si="4"/>
        <v>112384.59000000003</v>
      </c>
      <c r="K39" s="10">
        <f t="shared" si="5"/>
        <v>48699.42000000001</v>
      </c>
      <c r="L39" s="10">
        <f t="shared" si="6"/>
        <v>-91461.97999999998</v>
      </c>
      <c r="M39" s="10">
        <f t="shared" si="7"/>
        <v>-438.3000000000002</v>
      </c>
      <c r="N39" s="30">
        <f t="shared" si="12"/>
        <v>3.2289936637522483</v>
      </c>
      <c r="O39" s="30">
        <f t="shared" si="13"/>
        <v>1.4267962904212452</v>
      </c>
      <c r="P39" s="30">
        <f t="shared" si="14"/>
        <v>0.6402901685636303</v>
      </c>
    </row>
    <row r="40" spans="1:16" ht="31.5">
      <c r="A40" s="83"/>
      <c r="B40" s="69"/>
      <c r="C40" s="6" t="s">
        <v>43</v>
      </c>
      <c r="D40" s="5">
        <v>29076.85</v>
      </c>
      <c r="E40" s="5">
        <f>48566.2-5534.7</f>
        <v>43031.5</v>
      </c>
      <c r="F40" s="5">
        <v>24026</v>
      </c>
      <c r="G40" s="5">
        <v>3500</v>
      </c>
      <c r="H40" s="5">
        <v>24263.32</v>
      </c>
      <c r="I40" s="5">
        <v>404.27</v>
      </c>
      <c r="J40" s="5">
        <f t="shared" si="4"/>
        <v>-4813.529999999999</v>
      </c>
      <c r="K40" s="5">
        <f t="shared" si="5"/>
        <v>237.3199999999997</v>
      </c>
      <c r="L40" s="5">
        <f t="shared" si="6"/>
        <v>-18768.18</v>
      </c>
      <c r="M40" s="5">
        <f t="shared" si="7"/>
        <v>-3095.73</v>
      </c>
      <c r="N40" s="30">
        <f t="shared" si="12"/>
        <v>0.8344549014078211</v>
      </c>
      <c r="O40" s="30">
        <f t="shared" si="13"/>
        <v>1.0098776325647216</v>
      </c>
      <c r="P40" s="30">
        <f t="shared" si="14"/>
        <v>0.5638502027584444</v>
      </c>
    </row>
    <row r="41" spans="1:16" ht="31.5">
      <c r="A41" s="83"/>
      <c r="B41" s="69"/>
      <c r="C41" s="6" t="s">
        <v>77</v>
      </c>
      <c r="D41" s="5">
        <v>2042.69</v>
      </c>
      <c r="E41" s="5">
        <v>2948.3</v>
      </c>
      <c r="F41" s="5">
        <v>1689</v>
      </c>
      <c r="G41" s="5">
        <v>0</v>
      </c>
      <c r="H41" s="5">
        <v>1911.66</v>
      </c>
      <c r="I41" s="5">
        <v>55.870000000000005</v>
      </c>
      <c r="J41" s="5">
        <f t="shared" si="4"/>
        <v>-131.02999999999997</v>
      </c>
      <c r="K41" s="5">
        <f t="shared" si="5"/>
        <v>222.66000000000008</v>
      </c>
      <c r="L41" s="5">
        <f t="shared" si="6"/>
        <v>-1036.64</v>
      </c>
      <c r="M41" s="5">
        <f t="shared" si="7"/>
        <v>55.870000000000005</v>
      </c>
      <c r="N41" s="30">
        <f t="shared" si="12"/>
        <v>0.9358541922660806</v>
      </c>
      <c r="O41" s="30">
        <f t="shared" si="13"/>
        <v>1.1318294849023092</v>
      </c>
      <c r="P41" s="30">
        <f t="shared" si="14"/>
        <v>0.648393989756809</v>
      </c>
    </row>
    <row r="42" spans="1:16" ht="18" customHeight="1">
      <c r="A42" s="83"/>
      <c r="B42" s="69"/>
      <c r="C42" s="13" t="s">
        <v>81</v>
      </c>
      <c r="D42" s="5">
        <v>64.59</v>
      </c>
      <c r="E42" s="5">
        <v>0</v>
      </c>
      <c r="F42" s="5">
        <v>0</v>
      </c>
      <c r="G42" s="5">
        <v>0</v>
      </c>
      <c r="H42" s="5">
        <v>197.93</v>
      </c>
      <c r="I42" s="5">
        <v>47.59</v>
      </c>
      <c r="J42" s="5">
        <f t="shared" si="4"/>
        <v>133.34</v>
      </c>
      <c r="K42" s="5">
        <f t="shared" si="5"/>
        <v>197.93</v>
      </c>
      <c r="L42" s="5">
        <f t="shared" si="6"/>
        <v>197.93</v>
      </c>
      <c r="M42" s="5">
        <f t="shared" si="7"/>
        <v>47.59</v>
      </c>
      <c r="N42" s="30">
        <f t="shared" si="12"/>
        <v>3.06440625483821</v>
      </c>
      <c r="O42" s="30">
        <f t="shared" si="13"/>
      </c>
      <c r="P42" s="30">
        <f t="shared" si="14"/>
      </c>
    </row>
    <row r="43" spans="1:16" ht="31.5">
      <c r="A43" s="83"/>
      <c r="B43" s="69"/>
      <c r="C43" s="8" t="s">
        <v>44</v>
      </c>
      <c r="D43" s="5">
        <v>83530.03</v>
      </c>
      <c r="E43" s="3">
        <v>104142</v>
      </c>
      <c r="F43" s="15">
        <v>53740</v>
      </c>
      <c r="G43" s="3">
        <v>9300</v>
      </c>
      <c r="H43" s="5">
        <v>142358.36000000002</v>
      </c>
      <c r="I43" s="5">
        <v>46941.4</v>
      </c>
      <c r="J43" s="3">
        <f t="shared" si="4"/>
        <v>58828.330000000016</v>
      </c>
      <c r="K43" s="3">
        <f t="shared" si="5"/>
        <v>88618.36000000002</v>
      </c>
      <c r="L43" s="3">
        <f t="shared" si="6"/>
        <v>38216.360000000015</v>
      </c>
      <c r="M43" s="3">
        <f t="shared" si="7"/>
        <v>37641.4</v>
      </c>
      <c r="N43" s="30">
        <f t="shared" si="12"/>
        <v>1.7042776112973983</v>
      </c>
      <c r="O43" s="30">
        <f t="shared" si="13"/>
        <v>2.6490204689244514</v>
      </c>
      <c r="P43" s="30">
        <f t="shared" si="14"/>
        <v>1.3669639530640858</v>
      </c>
    </row>
    <row r="44" spans="1:16" ht="31.5">
      <c r="A44" s="83"/>
      <c r="B44" s="69"/>
      <c r="C44" s="8" t="s">
        <v>45</v>
      </c>
      <c r="D44" s="5">
        <v>30551.61</v>
      </c>
      <c r="E44" s="3">
        <v>45272.2</v>
      </c>
      <c r="F44" s="3">
        <v>18300</v>
      </c>
      <c r="G44" s="3">
        <v>5500</v>
      </c>
      <c r="H44" s="5">
        <v>45994.96</v>
      </c>
      <c r="I44" s="5">
        <v>2064.9900000000002</v>
      </c>
      <c r="J44" s="3">
        <v>5230.72</v>
      </c>
      <c r="K44" s="3">
        <f t="shared" si="5"/>
        <v>27694.96</v>
      </c>
      <c r="L44" s="3">
        <f t="shared" si="6"/>
        <v>722.760000000002</v>
      </c>
      <c r="M44" s="3">
        <f t="shared" si="7"/>
        <v>-3435.0099999999998</v>
      </c>
      <c r="N44" s="30">
        <f t="shared" si="12"/>
        <v>1.505483999042931</v>
      </c>
      <c r="O44" s="30">
        <f t="shared" si="13"/>
        <v>2.5133857923497267</v>
      </c>
      <c r="P44" s="30">
        <f t="shared" si="14"/>
        <v>1.0159647642482583</v>
      </c>
    </row>
    <row r="45" spans="1:16" ht="18" customHeight="1">
      <c r="A45" s="83"/>
      <c r="B45" s="69"/>
      <c r="C45" s="6" t="s">
        <v>50</v>
      </c>
      <c r="D45" s="5">
        <v>8075.41</v>
      </c>
      <c r="E45" s="3">
        <v>14007.9</v>
      </c>
      <c r="F45" s="3">
        <v>5563.8</v>
      </c>
      <c r="G45" s="3">
        <v>0</v>
      </c>
      <c r="H45" s="5">
        <v>6544.22</v>
      </c>
      <c r="I45" s="5">
        <v>952.41</v>
      </c>
      <c r="J45" s="3">
        <v>5230.72</v>
      </c>
      <c r="K45" s="3">
        <f t="shared" si="5"/>
        <v>980.4200000000001</v>
      </c>
      <c r="L45" s="3">
        <f t="shared" si="6"/>
        <v>-7463.679999999999</v>
      </c>
      <c r="M45" s="3">
        <f t="shared" si="7"/>
        <v>952.41</v>
      </c>
      <c r="N45" s="30">
        <f t="shared" si="12"/>
        <v>0.8103885746977554</v>
      </c>
      <c r="O45" s="30">
        <f t="shared" si="13"/>
        <v>1.1762140982781553</v>
      </c>
      <c r="P45" s="30">
        <f t="shared" si="14"/>
        <v>0.46718066234053646</v>
      </c>
    </row>
    <row r="46" spans="1:16" ht="18" customHeight="1">
      <c r="A46" s="83"/>
      <c r="B46" s="69"/>
      <c r="C46" s="6" t="s">
        <v>101</v>
      </c>
      <c r="D46" s="5">
        <v>-0.69</v>
      </c>
      <c r="E46" s="3">
        <v>0</v>
      </c>
      <c r="F46" s="3">
        <v>0</v>
      </c>
      <c r="G46" s="3">
        <v>0</v>
      </c>
      <c r="H46" s="5">
        <v>22003.170000000002</v>
      </c>
      <c r="I46" s="5">
        <v>1328.72</v>
      </c>
      <c r="J46" s="3">
        <v>5230.72</v>
      </c>
      <c r="K46" s="3">
        <f t="shared" si="5"/>
        <v>22003.170000000002</v>
      </c>
      <c r="L46" s="3">
        <f t="shared" si="6"/>
        <v>22003.170000000002</v>
      </c>
      <c r="M46" s="3">
        <f t="shared" si="7"/>
        <v>1328.72</v>
      </c>
      <c r="N46" s="30">
        <f t="shared" si="12"/>
        <v>-31888.652173913048</v>
      </c>
      <c r="O46" s="30">
        <f t="shared" si="13"/>
      </c>
      <c r="P46" s="30">
        <f t="shared" si="14"/>
      </c>
    </row>
    <row r="47" spans="1:16" ht="18" customHeight="1">
      <c r="A47" s="83"/>
      <c r="B47" s="83"/>
      <c r="C47" s="64" t="s">
        <v>9</v>
      </c>
      <c r="D47" s="25">
        <f>SUM(D38:D46)</f>
        <v>382072.36</v>
      </c>
      <c r="E47" s="25">
        <f>SUM(E38:E46)</f>
        <v>790295.3</v>
      </c>
      <c r="F47" s="25">
        <f>SUM(F38:F46)</f>
        <v>396823.89999999997</v>
      </c>
      <c r="G47" s="25">
        <f>SUM(G38:G46)</f>
        <v>44300</v>
      </c>
      <c r="H47" s="25">
        <v>571198.52</v>
      </c>
      <c r="I47" s="25">
        <v>61427.75</v>
      </c>
      <c r="J47" s="25">
        <f t="shared" si="4"/>
        <v>189126.16000000003</v>
      </c>
      <c r="K47" s="25">
        <f t="shared" si="5"/>
        <v>174374.62000000005</v>
      </c>
      <c r="L47" s="25">
        <f t="shared" si="6"/>
        <v>-219096.78000000003</v>
      </c>
      <c r="M47" s="25">
        <f t="shared" si="7"/>
        <v>17127.75</v>
      </c>
      <c r="N47" s="30">
        <f t="shared" si="12"/>
        <v>1.4950008945949402</v>
      </c>
      <c r="O47" s="30">
        <f t="shared" si="13"/>
        <v>1.4394256999137403</v>
      </c>
      <c r="P47" s="30">
        <f t="shared" si="14"/>
        <v>0.7227659331897835</v>
      </c>
    </row>
    <row r="48" spans="1:16" ht="18" customHeight="1">
      <c r="A48" s="83" t="s">
        <v>46</v>
      </c>
      <c r="B48" s="69" t="s">
        <v>47</v>
      </c>
      <c r="C48" s="6" t="s">
        <v>28</v>
      </c>
      <c r="D48" s="3">
        <v>8187.13</v>
      </c>
      <c r="E48" s="3">
        <v>2731.1</v>
      </c>
      <c r="F48" s="3">
        <v>2731.1</v>
      </c>
      <c r="G48" s="3">
        <v>0</v>
      </c>
      <c r="H48" s="5">
        <v>2731.14</v>
      </c>
      <c r="I48" s="5">
        <v>0</v>
      </c>
      <c r="J48" s="7">
        <f t="shared" si="4"/>
        <v>-5455.99</v>
      </c>
      <c r="K48" s="7">
        <f t="shared" si="5"/>
        <v>0.03999999999996362</v>
      </c>
      <c r="L48" s="7">
        <f t="shared" si="6"/>
        <v>0.03999999999996362</v>
      </c>
      <c r="M48" s="7">
        <f t="shared" si="7"/>
        <v>0</v>
      </c>
      <c r="N48" s="30">
        <f t="shared" si="12"/>
        <v>0.3335894263313273</v>
      </c>
      <c r="O48" s="30">
        <f t="shared" si="13"/>
        <v>1.0000146461132877</v>
      </c>
      <c r="P48" s="30">
        <f t="shared" si="14"/>
        <v>1.0000146461132877</v>
      </c>
    </row>
    <row r="49" spans="1:16" ht="18" customHeight="1">
      <c r="A49" s="83"/>
      <c r="B49" s="69"/>
      <c r="C49" s="64" t="s">
        <v>9</v>
      </c>
      <c r="D49" s="25">
        <f>D48</f>
        <v>8187.13</v>
      </c>
      <c r="E49" s="25">
        <f>SUM(E48:E48)</f>
        <v>2731.1</v>
      </c>
      <c r="F49" s="25">
        <f>SUM(F48:F48)</f>
        <v>2731.1</v>
      </c>
      <c r="G49" s="25">
        <f>SUM(G48:G48)</f>
        <v>0</v>
      </c>
      <c r="H49" s="25">
        <f>SUM(H48:H48)</f>
        <v>2731.14</v>
      </c>
      <c r="I49" s="25">
        <f>SUM(I48:I48)</f>
        <v>0</v>
      </c>
      <c r="J49" s="65">
        <f t="shared" si="4"/>
        <v>-5455.99</v>
      </c>
      <c r="K49" s="65">
        <f t="shared" si="5"/>
        <v>0.03999999999996362</v>
      </c>
      <c r="L49" s="65">
        <f t="shared" si="6"/>
        <v>0.03999999999996362</v>
      </c>
      <c r="M49" s="65">
        <f t="shared" si="7"/>
        <v>0</v>
      </c>
      <c r="N49" s="30">
        <f t="shared" si="12"/>
        <v>0.3335894263313273</v>
      </c>
      <c r="O49" s="30">
        <f t="shared" si="13"/>
        <v>1.0000146461132877</v>
      </c>
      <c r="P49" s="30">
        <f t="shared" si="14"/>
        <v>1.0000146461132877</v>
      </c>
    </row>
    <row r="50" spans="1:16" ht="18" customHeight="1">
      <c r="A50" s="88" t="s">
        <v>49</v>
      </c>
      <c r="B50" s="85" t="s">
        <v>75</v>
      </c>
      <c r="C50" s="14" t="s">
        <v>84</v>
      </c>
      <c r="D50" s="3">
        <v>202250.23</v>
      </c>
      <c r="E50" s="3">
        <v>636054.38</v>
      </c>
      <c r="F50" s="3">
        <v>310979.06000000006</v>
      </c>
      <c r="G50" s="3">
        <v>46441.8</v>
      </c>
      <c r="H50" s="5">
        <v>290423.84</v>
      </c>
      <c r="I50" s="5">
        <v>16037.53</v>
      </c>
      <c r="J50" s="7">
        <f t="shared" si="4"/>
        <v>88173.61000000002</v>
      </c>
      <c r="K50" s="7">
        <f t="shared" si="5"/>
        <v>-20555.22000000003</v>
      </c>
      <c r="L50" s="7">
        <f t="shared" si="6"/>
        <v>-345630.54</v>
      </c>
      <c r="M50" s="7">
        <f t="shared" si="7"/>
        <v>-30404.270000000004</v>
      </c>
      <c r="N50" s="30">
        <f t="shared" si="12"/>
        <v>1.4359629652831545</v>
      </c>
      <c r="O50" s="30">
        <f t="shared" si="13"/>
        <v>0.9339015945317989</v>
      </c>
      <c r="P50" s="30">
        <f t="shared" si="14"/>
        <v>0.4566022169362312</v>
      </c>
    </row>
    <row r="51" spans="1:16" ht="18" customHeight="1">
      <c r="A51" s="89"/>
      <c r="B51" s="86"/>
      <c r="C51" s="14" t="s">
        <v>78</v>
      </c>
      <c r="D51" s="3">
        <v>139211.15</v>
      </c>
      <c r="E51" s="3">
        <v>415818.14</v>
      </c>
      <c r="F51" s="3">
        <v>207499.3</v>
      </c>
      <c r="G51" s="3">
        <v>32039.5</v>
      </c>
      <c r="H51" s="5">
        <v>184670.35</v>
      </c>
      <c r="I51" s="5">
        <v>16693.399999999998</v>
      </c>
      <c r="J51" s="7">
        <f t="shared" si="4"/>
        <v>45459.20000000001</v>
      </c>
      <c r="K51" s="7">
        <f t="shared" si="5"/>
        <v>-22828.949999999983</v>
      </c>
      <c r="L51" s="7">
        <f t="shared" si="6"/>
        <v>-231147.79</v>
      </c>
      <c r="M51" s="7">
        <f t="shared" si="7"/>
        <v>-15346.100000000002</v>
      </c>
      <c r="N51" s="30">
        <f t="shared" si="12"/>
        <v>1.3265485559166776</v>
      </c>
      <c r="O51" s="30">
        <f t="shared" si="13"/>
        <v>0.889980592705614</v>
      </c>
      <c r="P51" s="30">
        <f t="shared" si="14"/>
        <v>0.4441132606672715</v>
      </c>
    </row>
    <row r="52" spans="1:16" ht="18" customHeight="1">
      <c r="A52" s="89"/>
      <c r="B52" s="86"/>
      <c r="C52" s="14" t="s">
        <v>79</v>
      </c>
      <c r="D52" s="3">
        <v>1962849.13</v>
      </c>
      <c r="E52" s="5">
        <v>3830717.66</v>
      </c>
      <c r="F52" s="5">
        <v>2114295.65</v>
      </c>
      <c r="G52" s="5">
        <v>290287.9</v>
      </c>
      <c r="H52" s="5">
        <v>2114371.79</v>
      </c>
      <c r="I52" s="5">
        <v>216120.06</v>
      </c>
      <c r="J52" s="7">
        <f t="shared" si="4"/>
        <v>151522.66000000015</v>
      </c>
      <c r="K52" s="7">
        <f t="shared" si="5"/>
        <v>76.14000000013039</v>
      </c>
      <c r="L52" s="7">
        <f t="shared" si="6"/>
        <v>-1716345.87</v>
      </c>
      <c r="M52" s="7">
        <f t="shared" si="7"/>
        <v>-74167.84000000003</v>
      </c>
      <c r="N52" s="30">
        <f t="shared" si="12"/>
        <v>1.0771952656391885</v>
      </c>
      <c r="O52" s="30">
        <f t="shared" si="13"/>
        <v>1.0000360119929301</v>
      </c>
      <c r="P52" s="30">
        <f t="shared" si="14"/>
        <v>0.5519518736862481</v>
      </c>
    </row>
    <row r="53" spans="1:16" ht="18" customHeight="1">
      <c r="A53" s="89"/>
      <c r="B53" s="86"/>
      <c r="C53" s="14" t="s">
        <v>80</v>
      </c>
      <c r="D53" s="3">
        <v>1285.88</v>
      </c>
      <c r="E53" s="3">
        <v>0</v>
      </c>
      <c r="F53" s="3">
        <v>0</v>
      </c>
      <c r="G53" s="3">
        <v>0</v>
      </c>
      <c r="H53" s="5">
        <v>665.94</v>
      </c>
      <c r="I53" s="5">
        <v>74.54</v>
      </c>
      <c r="J53" s="7">
        <f t="shared" si="4"/>
        <v>-619.94</v>
      </c>
      <c r="K53" s="7">
        <f t="shared" si="5"/>
        <v>665.94</v>
      </c>
      <c r="L53" s="7">
        <f t="shared" si="6"/>
        <v>665.94</v>
      </c>
      <c r="M53" s="7">
        <f t="shared" si="7"/>
        <v>74.54</v>
      </c>
      <c r="N53" s="30">
        <f t="shared" si="12"/>
        <v>0.5178865835070147</v>
      </c>
      <c r="O53" s="30">
        <f t="shared" si="13"/>
      </c>
      <c r="P53" s="30">
        <f t="shared" si="14"/>
      </c>
    </row>
    <row r="54" spans="1:16" ht="18" customHeight="1">
      <c r="A54" s="90"/>
      <c r="B54" s="87"/>
      <c r="C54" s="66" t="s">
        <v>9</v>
      </c>
      <c r="D54" s="25">
        <f>SUM(D50:D53)</f>
        <v>2305596.3899999997</v>
      </c>
      <c r="E54" s="25">
        <f>SUM(E50:E53)</f>
        <v>4882590.18</v>
      </c>
      <c r="F54" s="25">
        <f>SUM(F50:F53)</f>
        <v>2632774.01</v>
      </c>
      <c r="G54" s="25">
        <f>SUM(G50:G53)</f>
        <v>368769.2</v>
      </c>
      <c r="H54" s="25">
        <f>SUM(H50:H53)</f>
        <v>2590131.92</v>
      </c>
      <c r="I54" s="25">
        <v>248925.53</v>
      </c>
      <c r="J54" s="25">
        <f t="shared" si="4"/>
        <v>284535.53000000026</v>
      </c>
      <c r="K54" s="25">
        <f t="shared" si="5"/>
        <v>-42642.08999999985</v>
      </c>
      <c r="L54" s="25">
        <f t="shared" si="6"/>
        <v>-2292458.26</v>
      </c>
      <c r="M54" s="25">
        <f t="shared" si="7"/>
        <v>-119843.67000000001</v>
      </c>
      <c r="N54" s="30">
        <f t="shared" si="12"/>
        <v>1.123410815194762</v>
      </c>
      <c r="O54" s="30">
        <f t="shared" si="13"/>
        <v>0.983803361079214</v>
      </c>
      <c r="P54" s="30">
        <f t="shared" si="14"/>
        <v>0.5304831707173917</v>
      </c>
    </row>
    <row r="55" spans="1:16" ht="18" customHeight="1">
      <c r="A55" s="84">
        <v>991</v>
      </c>
      <c r="B55" s="84" t="s">
        <v>51</v>
      </c>
      <c r="C55" s="8" t="s">
        <v>52</v>
      </c>
      <c r="D55" s="5">
        <v>30051.63</v>
      </c>
      <c r="E55" s="5">
        <v>54298.2</v>
      </c>
      <c r="F55" s="5">
        <v>30200</v>
      </c>
      <c r="G55" s="5">
        <v>4500</v>
      </c>
      <c r="H55" s="5">
        <v>29910.86</v>
      </c>
      <c r="I55" s="5">
        <v>3112.72</v>
      </c>
      <c r="J55" s="5">
        <f t="shared" si="4"/>
        <v>-140.77000000000044</v>
      </c>
      <c r="K55" s="5">
        <f t="shared" si="5"/>
        <v>-289.1399999999994</v>
      </c>
      <c r="L55" s="5">
        <f t="shared" si="6"/>
        <v>-24387.339999999997</v>
      </c>
      <c r="M55" s="5">
        <f t="shared" si="7"/>
        <v>-1387.2800000000002</v>
      </c>
      <c r="N55" s="30">
        <f t="shared" si="12"/>
        <v>0.9953157282982653</v>
      </c>
      <c r="O55" s="30">
        <f t="shared" si="13"/>
        <v>0.9904258278145696</v>
      </c>
      <c r="P55" s="30">
        <f t="shared" si="14"/>
        <v>0.5508628278653804</v>
      </c>
    </row>
    <row r="56" spans="1:16" ht="18" customHeight="1">
      <c r="A56" s="84"/>
      <c r="B56" s="84"/>
      <c r="C56" s="6" t="s">
        <v>53</v>
      </c>
      <c r="D56" s="5">
        <v>3553.5</v>
      </c>
      <c r="E56" s="5">
        <v>0</v>
      </c>
      <c r="F56" s="5">
        <v>0</v>
      </c>
      <c r="G56" s="5">
        <v>0</v>
      </c>
      <c r="H56" s="5">
        <v>4452.64</v>
      </c>
      <c r="I56" s="5">
        <v>845.45</v>
      </c>
      <c r="J56" s="5">
        <f t="shared" si="4"/>
        <v>899.1400000000003</v>
      </c>
      <c r="K56" s="5">
        <f t="shared" si="5"/>
        <v>4452.64</v>
      </c>
      <c r="L56" s="5">
        <f t="shared" si="6"/>
        <v>4452.64</v>
      </c>
      <c r="M56" s="5">
        <f t="shared" si="7"/>
        <v>845.45</v>
      </c>
      <c r="N56" s="30">
        <f t="shared" si="12"/>
        <v>1.253029407626284</v>
      </c>
      <c r="O56" s="30">
        <f t="shared" si="13"/>
      </c>
      <c r="P56" s="30">
        <f t="shared" si="14"/>
      </c>
    </row>
    <row r="57" spans="1:16" ht="18" customHeight="1">
      <c r="A57" s="84"/>
      <c r="B57" s="84"/>
      <c r="C57" s="64" t="s">
        <v>9</v>
      </c>
      <c r="D57" s="25">
        <f>SUM(D55:D56)</f>
        <v>33605.130000000005</v>
      </c>
      <c r="E57" s="25">
        <f>SUM(E55:E56)</f>
        <v>54298.2</v>
      </c>
      <c r="F57" s="25">
        <f>SUM(F55:F56)</f>
        <v>30200</v>
      </c>
      <c r="G57" s="25">
        <f>SUM(G55:G56)</f>
        <v>4500</v>
      </c>
      <c r="H57" s="25">
        <f>SUM(H55:H56)</f>
        <v>34363.5</v>
      </c>
      <c r="I57" s="25">
        <f>SUM(I55:I56)</f>
        <v>3958.17</v>
      </c>
      <c r="J57" s="25">
        <f t="shared" si="4"/>
        <v>758.3699999999953</v>
      </c>
      <c r="K57" s="25">
        <f t="shared" si="5"/>
        <v>4163.5</v>
      </c>
      <c r="L57" s="25">
        <f t="shared" si="6"/>
        <v>-19934.699999999997</v>
      </c>
      <c r="M57" s="25">
        <f t="shared" si="7"/>
        <v>-541.8299999999999</v>
      </c>
      <c r="N57" s="63">
        <f t="shared" si="12"/>
        <v>1.022567090203192</v>
      </c>
      <c r="O57" s="30">
        <f t="shared" si="13"/>
        <v>1.137864238410596</v>
      </c>
      <c r="P57" s="63">
        <f t="shared" si="14"/>
        <v>0.6328662828602053</v>
      </c>
    </row>
    <row r="58" spans="1:16" ht="18" customHeight="1">
      <c r="A58" s="83" t="s">
        <v>54</v>
      </c>
      <c r="B58" s="69" t="s">
        <v>55</v>
      </c>
      <c r="C58" s="6" t="s">
        <v>56</v>
      </c>
      <c r="D58" s="5">
        <v>2159.1</v>
      </c>
      <c r="E58" s="5">
        <v>7767.5</v>
      </c>
      <c r="F58" s="5">
        <v>5456.4</v>
      </c>
      <c r="G58" s="5">
        <v>1561.4</v>
      </c>
      <c r="H58" s="5">
        <v>8270.56</v>
      </c>
      <c r="I58" s="5">
        <v>1480.93</v>
      </c>
      <c r="J58" s="5">
        <f t="shared" si="4"/>
        <v>6111.459999999999</v>
      </c>
      <c r="K58" s="5">
        <f t="shared" si="5"/>
        <v>2814.16</v>
      </c>
      <c r="L58" s="5">
        <f t="shared" si="6"/>
        <v>503.0599999999995</v>
      </c>
      <c r="M58" s="5">
        <f t="shared" si="7"/>
        <v>-80.47000000000003</v>
      </c>
      <c r="N58" s="30">
        <f t="shared" si="12"/>
        <v>3.83055902922514</v>
      </c>
      <c r="O58" s="30">
        <f t="shared" si="13"/>
        <v>1.5157539769811597</v>
      </c>
      <c r="P58" s="30">
        <f t="shared" si="14"/>
        <v>1.064764724814934</v>
      </c>
    </row>
    <row r="59" spans="1:16" ht="18" customHeight="1">
      <c r="A59" s="83"/>
      <c r="B59" s="69"/>
      <c r="C59" s="64" t="s">
        <v>9</v>
      </c>
      <c r="D59" s="25">
        <f aca="true" t="shared" si="15" ref="D59:J59">D58</f>
        <v>2159.1</v>
      </c>
      <c r="E59" s="25">
        <f t="shared" si="15"/>
        <v>7767.5</v>
      </c>
      <c r="F59" s="25">
        <f t="shared" si="15"/>
        <v>5456.4</v>
      </c>
      <c r="G59" s="25">
        <f t="shared" si="15"/>
        <v>1561.4</v>
      </c>
      <c r="H59" s="25">
        <f t="shared" si="15"/>
        <v>8270.56</v>
      </c>
      <c r="I59" s="25">
        <f t="shared" si="15"/>
        <v>1480.93</v>
      </c>
      <c r="J59" s="65">
        <f t="shared" si="15"/>
        <v>6111.459999999999</v>
      </c>
      <c r="K59" s="65">
        <f t="shared" si="5"/>
        <v>2814.16</v>
      </c>
      <c r="L59" s="65">
        <f t="shared" si="6"/>
        <v>503.0599999999995</v>
      </c>
      <c r="M59" s="65">
        <f t="shared" si="7"/>
        <v>-80.47000000000003</v>
      </c>
      <c r="N59" s="63">
        <f t="shared" si="12"/>
        <v>3.83055902922514</v>
      </c>
      <c r="O59" s="63">
        <f t="shared" si="13"/>
        <v>1.5157539769811597</v>
      </c>
      <c r="P59" s="63">
        <f t="shared" si="14"/>
        <v>1.064764724814934</v>
      </c>
    </row>
    <row r="60" spans="1:16" ht="18" customHeight="1">
      <c r="A60" s="69"/>
      <c r="B60" s="69" t="s">
        <v>57</v>
      </c>
      <c r="C60" s="9" t="s">
        <v>58</v>
      </c>
      <c r="D60" s="5">
        <v>580.99</v>
      </c>
      <c r="E60" s="5">
        <v>41.2</v>
      </c>
      <c r="F60" s="5">
        <v>41.2</v>
      </c>
      <c r="G60" s="5">
        <v>0</v>
      </c>
      <c r="H60" s="53">
        <v>158.82</v>
      </c>
      <c r="I60" s="53">
        <v>35.14</v>
      </c>
      <c r="J60" s="5">
        <f aca="true" t="shared" si="16" ref="J60:J79">H60-D60</f>
        <v>-422.17</v>
      </c>
      <c r="K60" s="5">
        <f t="shared" si="5"/>
        <v>117.61999999999999</v>
      </c>
      <c r="L60" s="5">
        <f t="shared" si="6"/>
        <v>117.61999999999999</v>
      </c>
      <c r="M60" s="5">
        <f t="shared" si="7"/>
        <v>35.14</v>
      </c>
      <c r="N60" s="30">
        <f t="shared" si="12"/>
        <v>0.2733609872803318</v>
      </c>
      <c r="O60" s="30">
        <f t="shared" si="13"/>
        <v>3.8548543689320383</v>
      </c>
      <c r="P60" s="30">
        <f t="shared" si="14"/>
        <v>3.8548543689320383</v>
      </c>
    </row>
    <row r="61" spans="1:16" ht="18" customHeight="1">
      <c r="A61" s="69"/>
      <c r="B61" s="69"/>
      <c r="C61" s="6" t="s">
        <v>95</v>
      </c>
      <c r="D61" s="5">
        <v>84.91</v>
      </c>
      <c r="E61" s="5">
        <v>47.1</v>
      </c>
      <c r="F61" s="5">
        <v>47.1</v>
      </c>
      <c r="G61" s="5">
        <v>0</v>
      </c>
      <c r="H61" s="5">
        <v>272.04</v>
      </c>
      <c r="I61" s="5">
        <v>0</v>
      </c>
      <c r="J61" s="5">
        <f t="shared" si="16"/>
        <v>187.13000000000002</v>
      </c>
      <c r="K61" s="5">
        <f t="shared" si="5"/>
        <v>224.94000000000003</v>
      </c>
      <c r="L61" s="5">
        <f t="shared" si="6"/>
        <v>224.94000000000003</v>
      </c>
      <c r="M61" s="5">
        <f t="shared" si="7"/>
        <v>0</v>
      </c>
      <c r="N61" s="30">
        <f t="shared" si="12"/>
        <v>3.2038629136733014</v>
      </c>
      <c r="O61" s="30">
        <f t="shared" si="13"/>
        <v>5.775796178343949</v>
      </c>
      <c r="P61" s="30">
        <f t="shared" si="14"/>
        <v>5.775796178343949</v>
      </c>
    </row>
    <row r="62" spans="1:16" ht="18" customHeight="1">
      <c r="A62" s="69"/>
      <c r="B62" s="69"/>
      <c r="C62" s="6" t="s">
        <v>28</v>
      </c>
      <c r="D62" s="5">
        <v>9531</v>
      </c>
      <c r="E62" s="5">
        <v>7387.5</v>
      </c>
      <c r="F62" s="5">
        <v>7387.5</v>
      </c>
      <c r="G62" s="5">
        <v>0</v>
      </c>
      <c r="H62" s="5">
        <v>7387.5</v>
      </c>
      <c r="I62" s="5">
        <v>0</v>
      </c>
      <c r="J62" s="5">
        <f t="shared" si="16"/>
        <v>-2143.5</v>
      </c>
      <c r="K62" s="5">
        <f t="shared" si="5"/>
        <v>0</v>
      </c>
      <c r="L62" s="5">
        <f t="shared" si="6"/>
        <v>0</v>
      </c>
      <c r="M62" s="5">
        <f t="shared" si="7"/>
        <v>0</v>
      </c>
      <c r="N62" s="30">
        <f t="shared" si="12"/>
        <v>0.7751022977651872</v>
      </c>
      <c r="O62" s="30">
        <f t="shared" si="13"/>
        <v>1</v>
      </c>
      <c r="P62" s="30">
        <f t="shared" si="14"/>
        <v>1</v>
      </c>
    </row>
    <row r="63" spans="1:16" ht="17.25" customHeight="1">
      <c r="A63" s="69"/>
      <c r="B63" s="69"/>
      <c r="C63" s="6" t="s">
        <v>48</v>
      </c>
      <c r="D63" s="5">
        <v>8266.46999999916</v>
      </c>
      <c r="E63" s="3">
        <v>680.5</v>
      </c>
      <c r="F63" s="3">
        <v>380</v>
      </c>
      <c r="G63" s="3">
        <v>40</v>
      </c>
      <c r="H63" s="5">
        <v>69611.54999999962</v>
      </c>
      <c r="I63" s="5">
        <v>36898.679999999986</v>
      </c>
      <c r="J63" s="3">
        <f t="shared" si="16"/>
        <v>61345.08000000047</v>
      </c>
      <c r="K63" s="3">
        <f t="shared" si="5"/>
        <v>69231.54999999962</v>
      </c>
      <c r="L63" s="3">
        <f t="shared" si="6"/>
        <v>68931.04999999962</v>
      </c>
      <c r="M63" s="3">
        <f t="shared" si="7"/>
        <v>36858.679999999986</v>
      </c>
      <c r="N63" s="30">
        <f t="shared" si="12"/>
        <v>8.420952353302763</v>
      </c>
      <c r="O63" s="30">
        <f t="shared" si="13"/>
        <v>183.18828947368323</v>
      </c>
      <c r="P63" s="30">
        <f t="shared" si="14"/>
        <v>102.29470977222576</v>
      </c>
    </row>
    <row r="64" spans="1:16" ht="18" customHeight="1">
      <c r="A64" s="69"/>
      <c r="B64" s="69"/>
      <c r="C64" s="6" t="s">
        <v>50</v>
      </c>
      <c r="D64" s="3">
        <v>46884.11000000002</v>
      </c>
      <c r="E64" s="3">
        <v>81594.89999999997</v>
      </c>
      <c r="F64" s="3">
        <v>43961.4</v>
      </c>
      <c r="G64" s="3">
        <v>6793</v>
      </c>
      <c r="H64" s="5">
        <v>57530.56000000002</v>
      </c>
      <c r="I64" s="5">
        <v>7602.430000000001</v>
      </c>
      <c r="J64" s="3">
        <f t="shared" si="16"/>
        <v>10646.449999999997</v>
      </c>
      <c r="K64" s="3">
        <f t="shared" si="5"/>
        <v>13569.160000000018</v>
      </c>
      <c r="L64" s="3">
        <f t="shared" si="6"/>
        <v>-24064.339999999946</v>
      </c>
      <c r="M64" s="3">
        <f t="shared" si="7"/>
        <v>809.4300000000012</v>
      </c>
      <c r="N64" s="30">
        <f t="shared" si="12"/>
        <v>1.2270801343994797</v>
      </c>
      <c r="O64" s="30">
        <f t="shared" si="13"/>
        <v>1.308660779683996</v>
      </c>
      <c r="P64" s="30">
        <f t="shared" si="14"/>
        <v>0.7050754397640054</v>
      </c>
    </row>
    <row r="65" spans="1:16" ht="18" customHeight="1">
      <c r="A65" s="69"/>
      <c r="B65" s="69"/>
      <c r="C65" s="6" t="s">
        <v>59</v>
      </c>
      <c r="D65" s="3">
        <v>39360.05999999999</v>
      </c>
      <c r="E65" s="3">
        <v>0</v>
      </c>
      <c r="F65" s="3">
        <v>0</v>
      </c>
      <c r="G65" s="3">
        <v>0</v>
      </c>
      <c r="H65" s="5">
        <f>-4947.36+1700</f>
        <v>-3247.3599999999997</v>
      </c>
      <c r="I65" s="5">
        <f>99.08+1700</f>
        <v>1799.08</v>
      </c>
      <c r="J65" s="3">
        <f t="shared" si="16"/>
        <v>-42607.41999999999</v>
      </c>
      <c r="K65" s="3">
        <f t="shared" si="5"/>
        <v>-3247.3599999999997</v>
      </c>
      <c r="L65" s="3">
        <f t="shared" si="6"/>
        <v>-3247.3599999999997</v>
      </c>
      <c r="M65" s="3">
        <f t="shared" si="7"/>
        <v>1799.08</v>
      </c>
      <c r="N65" s="30">
        <f t="shared" si="12"/>
        <v>-0.08250393927245031</v>
      </c>
      <c r="O65" s="30">
        <f t="shared" si="13"/>
      </c>
      <c r="P65" s="30">
        <f t="shared" si="14"/>
      </c>
    </row>
    <row r="66" spans="1:16" ht="18" customHeight="1">
      <c r="A66" s="69"/>
      <c r="B66" s="69"/>
      <c r="C66" s="6" t="s">
        <v>40</v>
      </c>
      <c r="D66" s="3">
        <f>12226.76+55.33</f>
        <v>12282.09</v>
      </c>
      <c r="E66" s="3">
        <v>16333.1</v>
      </c>
      <c r="F66" s="3">
        <v>5950</v>
      </c>
      <c r="G66" s="3">
        <v>2000</v>
      </c>
      <c r="H66" s="5">
        <v>43400.369999999995</v>
      </c>
      <c r="I66" s="5">
        <v>4269.05</v>
      </c>
      <c r="J66" s="3">
        <f t="shared" si="16"/>
        <v>31118.279999999995</v>
      </c>
      <c r="K66" s="3">
        <f aca="true" t="shared" si="17" ref="K66:K79">H66-F66</f>
        <v>37450.369999999995</v>
      </c>
      <c r="L66" s="3">
        <f aca="true" t="shared" si="18" ref="L66:L80">H66-E66</f>
        <v>27067.269999999997</v>
      </c>
      <c r="M66" s="3">
        <f aca="true" t="shared" si="19" ref="M66:M80">I66-G66</f>
        <v>2269.05</v>
      </c>
      <c r="N66" s="30">
        <f t="shared" si="12"/>
        <v>3.533630676863628</v>
      </c>
      <c r="O66" s="30">
        <f t="shared" si="13"/>
        <v>7.294179831932772</v>
      </c>
      <c r="P66" s="30">
        <f t="shared" si="14"/>
        <v>2.6572034702536564</v>
      </c>
    </row>
    <row r="67" spans="1:16" ht="18" customHeight="1">
      <c r="A67" s="69"/>
      <c r="B67" s="69"/>
      <c r="C67" s="6" t="s">
        <v>97</v>
      </c>
      <c r="D67" s="3">
        <v>2149.43</v>
      </c>
      <c r="E67" s="3">
        <v>0</v>
      </c>
      <c r="F67" s="3">
        <f>G67</f>
        <v>0</v>
      </c>
      <c r="G67" s="3">
        <v>0</v>
      </c>
      <c r="H67" s="5">
        <v>795.93</v>
      </c>
      <c r="I67" s="5">
        <v>0</v>
      </c>
      <c r="J67" s="3">
        <f t="shared" si="16"/>
        <v>-1353.5</v>
      </c>
      <c r="K67" s="3">
        <f t="shared" si="17"/>
        <v>795.93</v>
      </c>
      <c r="L67" s="3">
        <f t="shared" si="18"/>
        <v>795.93</v>
      </c>
      <c r="M67" s="3">
        <f t="shared" si="19"/>
        <v>0</v>
      </c>
      <c r="N67" s="30">
        <f t="shared" si="12"/>
        <v>0.3702981720735265</v>
      </c>
      <c r="O67" s="30">
        <f t="shared" si="13"/>
      </c>
      <c r="P67" s="30">
        <f t="shared" si="14"/>
      </c>
    </row>
    <row r="68" spans="1:16" ht="15.75">
      <c r="A68" s="69"/>
      <c r="B68" s="69"/>
      <c r="C68" s="64" t="s">
        <v>60</v>
      </c>
      <c r="D68" s="25">
        <f aca="true" t="shared" si="20" ref="D68:I68">SUM(D60:D67)</f>
        <v>119139.05999999915</v>
      </c>
      <c r="E68" s="25">
        <f t="shared" si="20"/>
        <v>106084.29999999997</v>
      </c>
      <c r="F68" s="25">
        <f t="shared" si="20"/>
        <v>57767.200000000004</v>
      </c>
      <c r="G68" s="25">
        <f t="shared" si="20"/>
        <v>8833</v>
      </c>
      <c r="H68" s="25">
        <f>SUM(H60:H67)</f>
        <v>175909.40999999965</v>
      </c>
      <c r="I68" s="25">
        <f t="shared" si="20"/>
        <v>50604.37999999999</v>
      </c>
      <c r="J68" s="65">
        <f t="shared" si="16"/>
        <v>56770.3500000005</v>
      </c>
      <c r="K68" s="65">
        <f t="shared" si="17"/>
        <v>118142.20999999964</v>
      </c>
      <c r="L68" s="65">
        <f t="shared" si="18"/>
        <v>69825.10999999968</v>
      </c>
      <c r="M68" s="65">
        <f t="shared" si="19"/>
        <v>41771.37999999999</v>
      </c>
      <c r="N68" s="63">
        <f aca="true" t="shared" si="21" ref="N68:N80">_xlfn.IFERROR(H68/D68,"")</f>
        <v>1.4765049346536803</v>
      </c>
      <c r="O68" s="63">
        <f aca="true" t="shared" si="22" ref="O68:O80">_xlfn.IFERROR(H68/F68,"")</f>
        <v>3.045143437798606</v>
      </c>
      <c r="P68" s="63">
        <f aca="true" t="shared" si="23" ref="P68:P80">_xlfn.IFERROR(H68/E68,"")</f>
        <v>1.658203994370512</v>
      </c>
    </row>
    <row r="69" spans="1:16" s="67" customFormat="1" ht="23.25" customHeight="1">
      <c r="A69" s="70" t="s">
        <v>61</v>
      </c>
      <c r="B69" s="70"/>
      <c r="C69" s="70"/>
      <c r="D69" s="33">
        <f>D5+D22</f>
        <v>11506075.629999999</v>
      </c>
      <c r="E69" s="33">
        <f>E5+E22</f>
        <v>26570797.880000003</v>
      </c>
      <c r="F69" s="33">
        <f>F5+F22</f>
        <v>11449116.709999999</v>
      </c>
      <c r="G69" s="33">
        <f>G5+G22</f>
        <v>568474.1</v>
      </c>
      <c r="H69" s="33">
        <f>H5+H22</f>
        <v>11184140.149999999</v>
      </c>
      <c r="I69" s="33">
        <f>I5+I22</f>
        <v>467296.31</v>
      </c>
      <c r="J69" s="35">
        <f t="shared" si="16"/>
        <v>-321935.48000000045</v>
      </c>
      <c r="K69" s="35">
        <f t="shared" si="17"/>
        <v>-264976.5600000005</v>
      </c>
      <c r="L69" s="35">
        <f t="shared" si="18"/>
        <v>-15386657.730000004</v>
      </c>
      <c r="M69" s="35">
        <f t="shared" si="19"/>
        <v>-101177.78999999998</v>
      </c>
      <c r="N69" s="36">
        <f t="shared" si="21"/>
        <v>0.9720203924993668</v>
      </c>
      <c r="O69" s="36">
        <f t="shared" si="22"/>
        <v>0.976856156967239</v>
      </c>
      <c r="P69" s="36">
        <f t="shared" si="23"/>
        <v>0.42091849106339285</v>
      </c>
    </row>
    <row r="70" spans="1:16" ht="28.5" customHeight="1">
      <c r="A70" s="71"/>
      <c r="B70" s="72"/>
      <c r="C70" s="34" t="s">
        <v>62</v>
      </c>
      <c r="D70" s="33">
        <f aca="true" t="shared" si="24" ref="D70:J70">SUM(D71:D79)</f>
        <v>10883828.829999998</v>
      </c>
      <c r="E70" s="33">
        <f t="shared" si="24"/>
        <v>28243736.583</v>
      </c>
      <c r="F70" s="33">
        <f t="shared" si="24"/>
        <v>12866851.383000001</v>
      </c>
      <c r="G70" s="33">
        <f t="shared" si="24"/>
        <v>1729090.3130000005</v>
      </c>
      <c r="H70" s="33">
        <f t="shared" si="24"/>
        <v>12956503.3</v>
      </c>
      <c r="I70" s="33">
        <f t="shared" si="24"/>
        <v>1452348.96</v>
      </c>
      <c r="J70" s="33">
        <f t="shared" si="24"/>
        <v>2072674.4700000004</v>
      </c>
      <c r="K70" s="35">
        <f t="shared" si="17"/>
        <v>89651.91699999943</v>
      </c>
      <c r="L70" s="35">
        <f t="shared" si="18"/>
        <v>-15287233.283</v>
      </c>
      <c r="M70" s="35">
        <f t="shared" si="19"/>
        <v>-276741.3530000006</v>
      </c>
      <c r="N70" s="36">
        <f t="shared" si="21"/>
        <v>1.190436150951485</v>
      </c>
      <c r="O70" s="36">
        <f t="shared" si="22"/>
        <v>1.006967665540806</v>
      </c>
      <c r="P70" s="36">
        <f t="shared" si="23"/>
        <v>0.458738993756179</v>
      </c>
    </row>
    <row r="71" spans="1:16" ht="31.5">
      <c r="A71" s="71"/>
      <c r="B71" s="72"/>
      <c r="C71" s="15" t="s">
        <v>63</v>
      </c>
      <c r="D71" s="3">
        <v>539943.4</v>
      </c>
      <c r="E71" s="3">
        <v>384548</v>
      </c>
      <c r="F71" s="3">
        <v>320133.9</v>
      </c>
      <c r="G71" s="3">
        <v>0</v>
      </c>
      <c r="H71" s="3">
        <v>326643.7</v>
      </c>
      <c r="I71" s="3">
        <v>0</v>
      </c>
      <c r="J71" s="3">
        <f>H71-D71</f>
        <v>-213299.7</v>
      </c>
      <c r="K71" s="3">
        <f aca="true" t="shared" si="25" ref="K71:K77">H71-F71</f>
        <v>6509.799999999988</v>
      </c>
      <c r="L71" s="3">
        <f>H71-E71</f>
        <v>-57904.29999999999</v>
      </c>
      <c r="M71" s="3">
        <f>I71-G71</f>
        <v>0</v>
      </c>
      <c r="N71" s="31">
        <f t="shared" si="21"/>
        <v>0.6049591494219579</v>
      </c>
      <c r="O71" s="31">
        <f t="shared" si="22"/>
        <v>1.0203346162340194</v>
      </c>
      <c r="P71" s="31">
        <f t="shared" si="23"/>
        <v>0.8494224388112798</v>
      </c>
    </row>
    <row r="72" spans="1:16" ht="18" customHeight="1">
      <c r="A72" s="71"/>
      <c r="B72" s="72"/>
      <c r="C72" s="16" t="s">
        <v>64</v>
      </c>
      <c r="D72" s="3">
        <v>1840627.7799999998</v>
      </c>
      <c r="E72" s="3">
        <v>9844322.13</v>
      </c>
      <c r="F72" s="3">
        <v>2124464.18</v>
      </c>
      <c r="G72" s="3">
        <v>139894.88000000003</v>
      </c>
      <c r="H72" s="3">
        <v>2124464.18</v>
      </c>
      <c r="I72" s="3">
        <v>139894.88000000003</v>
      </c>
      <c r="J72" s="3">
        <f aca="true" t="shared" si="26" ref="J72:J77">H72-D72</f>
        <v>283836.4000000004</v>
      </c>
      <c r="K72" s="3">
        <f t="shared" si="25"/>
        <v>0</v>
      </c>
      <c r="L72" s="3">
        <f>H72-E72</f>
        <v>-7719857.950000001</v>
      </c>
      <c r="M72" s="3">
        <f>I72-G72</f>
        <v>0</v>
      </c>
      <c r="N72" s="31">
        <f t="shared" si="21"/>
        <v>1.1542063002004677</v>
      </c>
      <c r="O72" s="31">
        <f t="shared" si="22"/>
        <v>1</v>
      </c>
      <c r="P72" s="31">
        <f t="shared" si="23"/>
        <v>0.2158060404713717</v>
      </c>
    </row>
    <row r="73" spans="1:16" ht="18" customHeight="1">
      <c r="A73" s="71"/>
      <c r="B73" s="72"/>
      <c r="C73" s="16" t="s">
        <v>65</v>
      </c>
      <c r="D73" s="3">
        <v>6573523.960000001</v>
      </c>
      <c r="E73" s="3">
        <v>12307705.3</v>
      </c>
      <c r="F73" s="3">
        <v>7285750.590000003</v>
      </c>
      <c r="G73" s="3">
        <v>1079827.9300000006</v>
      </c>
      <c r="H73" s="3">
        <f>7285750.59+7027.7</f>
        <v>7292778.29</v>
      </c>
      <c r="I73" s="3">
        <f>1079827.93+7027.7</f>
        <v>1086855.63</v>
      </c>
      <c r="J73" s="3">
        <f t="shared" si="26"/>
        <v>719254.3299999991</v>
      </c>
      <c r="K73" s="3">
        <f t="shared" si="25"/>
        <v>7027.699999997392</v>
      </c>
      <c r="L73" s="3">
        <f t="shared" si="18"/>
        <v>-5014927.010000001</v>
      </c>
      <c r="M73" s="3">
        <f>I73-G73</f>
        <v>7027.699999999255</v>
      </c>
      <c r="N73" s="31">
        <f t="shared" si="21"/>
        <v>1.1094168568300158</v>
      </c>
      <c r="O73" s="31">
        <f t="shared" si="22"/>
        <v>1.0009645814680568</v>
      </c>
      <c r="P73" s="31">
        <f t="shared" si="23"/>
        <v>0.5925376105649848</v>
      </c>
    </row>
    <row r="74" spans="1:16" ht="18" customHeight="1">
      <c r="A74" s="71"/>
      <c r="B74" s="72"/>
      <c r="C74" s="8" t="s">
        <v>66</v>
      </c>
      <c r="D74" s="3">
        <v>1882542.77</v>
      </c>
      <c r="E74" s="3">
        <v>5484388.19</v>
      </c>
      <c r="F74" s="3">
        <v>2913729.7500000005</v>
      </c>
      <c r="G74" s="3">
        <v>294601.41000000003</v>
      </c>
      <c r="H74" s="3">
        <v>2913729.7500000005</v>
      </c>
      <c r="I74" s="3">
        <v>294601.41000000003</v>
      </c>
      <c r="J74" s="3">
        <f t="shared" si="26"/>
        <v>1031186.9800000004</v>
      </c>
      <c r="K74" s="3">
        <f t="shared" si="25"/>
        <v>0</v>
      </c>
      <c r="L74" s="3">
        <f t="shared" si="18"/>
        <v>-2570658.44</v>
      </c>
      <c r="M74" s="3">
        <f t="shared" si="19"/>
        <v>0</v>
      </c>
      <c r="N74" s="31">
        <f t="shared" si="21"/>
        <v>1.5477628431252057</v>
      </c>
      <c r="O74" s="31">
        <f t="shared" si="22"/>
        <v>1</v>
      </c>
      <c r="P74" s="31">
        <f t="shared" si="23"/>
        <v>0.5312770812454106</v>
      </c>
    </row>
    <row r="75" spans="1:16" ht="31.5">
      <c r="A75" s="71"/>
      <c r="B75" s="72"/>
      <c r="C75" s="8" t="s">
        <v>82</v>
      </c>
      <c r="D75" s="3">
        <v>4.06</v>
      </c>
      <c r="E75" s="3">
        <v>0</v>
      </c>
      <c r="F75" s="3">
        <v>0</v>
      </c>
      <c r="G75" s="3">
        <v>0</v>
      </c>
      <c r="H75" s="3">
        <v>924.17</v>
      </c>
      <c r="I75" s="3">
        <v>136.28</v>
      </c>
      <c r="J75" s="3">
        <f t="shared" si="26"/>
        <v>920.11</v>
      </c>
      <c r="K75" s="3">
        <f t="shared" si="25"/>
        <v>924.17</v>
      </c>
      <c r="L75" s="3">
        <f t="shared" si="18"/>
        <v>924.17</v>
      </c>
      <c r="M75" s="3">
        <f t="shared" si="19"/>
        <v>136.28</v>
      </c>
      <c r="N75" s="31">
        <f t="shared" si="21"/>
        <v>227.628078817734</v>
      </c>
      <c r="O75" s="31">
        <f t="shared" si="22"/>
      </c>
      <c r="P75" s="31">
        <f t="shared" si="23"/>
      </c>
    </row>
    <row r="76" spans="1:16" ht="30.75" customHeight="1">
      <c r="A76" s="71"/>
      <c r="B76" s="72"/>
      <c r="C76" s="28" t="s">
        <v>67</v>
      </c>
      <c r="D76" s="3">
        <v>62670.44</v>
      </c>
      <c r="E76" s="3">
        <v>214766.093</v>
      </c>
      <c r="F76" s="3">
        <v>214766.093</v>
      </c>
      <c r="G76" s="3">
        <v>214766.093</v>
      </c>
      <c r="H76" s="3">
        <v>450392.64</v>
      </c>
      <c r="I76" s="3">
        <v>0</v>
      </c>
      <c r="J76" s="3">
        <f t="shared" si="26"/>
        <v>387722.2</v>
      </c>
      <c r="K76" s="3">
        <f t="shared" si="25"/>
        <v>235626.54700000002</v>
      </c>
      <c r="L76" s="3">
        <f>H76-E76</f>
        <v>235626.54700000002</v>
      </c>
      <c r="M76" s="3">
        <f t="shared" si="19"/>
        <v>-214766.093</v>
      </c>
      <c r="N76" s="31">
        <f t="shared" si="21"/>
        <v>7.186683865631069</v>
      </c>
      <c r="O76" s="31">
        <f t="shared" si="22"/>
        <v>2.0971310401404937</v>
      </c>
      <c r="P76" s="31">
        <f t="shared" si="23"/>
        <v>2.0971310401404937</v>
      </c>
    </row>
    <row r="77" spans="1:16" ht="39" customHeight="1">
      <c r="A77" s="71"/>
      <c r="B77" s="72"/>
      <c r="C77" s="28" t="s">
        <v>85</v>
      </c>
      <c r="D77" s="3">
        <v>-0.14</v>
      </c>
      <c r="E77" s="3">
        <v>0</v>
      </c>
      <c r="F77" s="3">
        <v>0</v>
      </c>
      <c r="G77" s="3">
        <v>0</v>
      </c>
      <c r="H77" s="3"/>
      <c r="I77" s="3">
        <v>0</v>
      </c>
      <c r="J77" s="3">
        <f t="shared" si="26"/>
        <v>0.14</v>
      </c>
      <c r="K77" s="3">
        <f t="shared" si="25"/>
        <v>0</v>
      </c>
      <c r="L77" s="3">
        <f>H77-E77</f>
        <v>0</v>
      </c>
      <c r="M77" s="3">
        <f t="shared" si="19"/>
        <v>0</v>
      </c>
      <c r="N77" s="31">
        <f t="shared" si="21"/>
        <v>0</v>
      </c>
      <c r="O77" s="31">
        <f t="shared" si="22"/>
      </c>
      <c r="P77" s="31">
        <f t="shared" si="23"/>
      </c>
    </row>
    <row r="78" spans="1:16" ht="31.5">
      <c r="A78" s="71"/>
      <c r="B78" s="72"/>
      <c r="C78" s="6" t="s">
        <v>68</v>
      </c>
      <c r="D78" s="3">
        <v>322724.02</v>
      </c>
      <c r="E78" s="5">
        <v>8006.87</v>
      </c>
      <c r="F78" s="5">
        <v>8006.87</v>
      </c>
      <c r="G78" s="5">
        <v>0</v>
      </c>
      <c r="H78" s="5">
        <v>159826.16</v>
      </c>
      <c r="I78" s="5">
        <v>-34569.62</v>
      </c>
      <c r="J78" s="3">
        <f t="shared" si="16"/>
        <v>-162897.86000000002</v>
      </c>
      <c r="K78" s="3">
        <f t="shared" si="17"/>
        <v>151819.29</v>
      </c>
      <c r="L78" s="3">
        <f t="shared" si="18"/>
        <v>151819.29</v>
      </c>
      <c r="M78" s="3">
        <f t="shared" si="19"/>
        <v>-34569.62</v>
      </c>
      <c r="N78" s="31">
        <f t="shared" si="21"/>
        <v>0.4952409802034568</v>
      </c>
      <c r="O78" s="31">
        <f t="shared" si="22"/>
        <v>19.961128381002816</v>
      </c>
      <c r="P78" s="31">
        <f t="shared" si="23"/>
        <v>19.961128381002816</v>
      </c>
    </row>
    <row r="79" spans="1:16" ht="18" customHeight="1">
      <c r="A79" s="71"/>
      <c r="B79" s="72"/>
      <c r="C79" s="6" t="s">
        <v>69</v>
      </c>
      <c r="D79" s="3">
        <v>-338207.46</v>
      </c>
      <c r="E79" s="3">
        <v>0</v>
      </c>
      <c r="F79" s="3">
        <v>0</v>
      </c>
      <c r="G79" s="3">
        <v>0</v>
      </c>
      <c r="H79" s="3">
        <v>-312255.58999999997</v>
      </c>
      <c r="I79" s="3">
        <v>-34569.619999999995</v>
      </c>
      <c r="J79" s="3">
        <f t="shared" si="16"/>
        <v>25951.870000000054</v>
      </c>
      <c r="K79" s="3">
        <f t="shared" si="17"/>
        <v>-312255.58999999997</v>
      </c>
      <c r="L79" s="3">
        <f t="shared" si="18"/>
        <v>-312255.58999999997</v>
      </c>
      <c r="M79" s="3">
        <f t="shared" si="19"/>
        <v>-34569.619999999995</v>
      </c>
      <c r="N79" s="31">
        <f t="shared" si="21"/>
        <v>0.9232664176006051</v>
      </c>
      <c r="O79" s="31">
        <f t="shared" si="22"/>
      </c>
      <c r="P79" s="31">
        <f t="shared" si="23"/>
      </c>
    </row>
    <row r="80" spans="1:16" ht="30" customHeight="1">
      <c r="A80" s="68" t="s">
        <v>70</v>
      </c>
      <c r="B80" s="68"/>
      <c r="C80" s="68"/>
      <c r="D80" s="38">
        <f>D69+D70</f>
        <v>22389904.459999997</v>
      </c>
      <c r="E80" s="38">
        <f>E69+E70</f>
        <v>54814534.463</v>
      </c>
      <c r="F80" s="38">
        <f>F69+F70</f>
        <v>24315968.093000002</v>
      </c>
      <c r="G80" s="38">
        <f>G69+G70</f>
        <v>2297564.4130000006</v>
      </c>
      <c r="H80" s="38">
        <f>H69+H70</f>
        <v>24140643.45</v>
      </c>
      <c r="I80" s="38">
        <f>I69+I70</f>
        <v>1919645.27</v>
      </c>
      <c r="J80" s="38">
        <f>J69+J70</f>
        <v>1750738.99</v>
      </c>
      <c r="K80" s="38">
        <f>K69+K70</f>
        <v>-175324.6430000011</v>
      </c>
      <c r="L80" s="32">
        <f t="shared" si="18"/>
        <v>-30673891.013</v>
      </c>
      <c r="M80" s="32">
        <f t="shared" si="19"/>
        <v>-377919.1430000006</v>
      </c>
      <c r="N80" s="39">
        <f t="shared" si="21"/>
        <v>1.0781932318258762</v>
      </c>
      <c r="O80" s="39">
        <f t="shared" si="22"/>
        <v>0.9927897321492837</v>
      </c>
      <c r="P80" s="39">
        <f t="shared" si="23"/>
        <v>0.4404058829742505</v>
      </c>
    </row>
    <row r="81" spans="1:16" ht="15.75">
      <c r="A81" s="17" t="s">
        <v>71</v>
      </c>
      <c r="B81" s="18"/>
      <c r="C81" s="19"/>
      <c r="D81" s="20"/>
      <c r="E81" s="20"/>
      <c r="F81" s="20"/>
      <c r="G81" s="20"/>
      <c r="H81" s="54"/>
      <c r="I81" s="54"/>
      <c r="J81" s="20"/>
      <c r="K81" s="20"/>
      <c r="L81" s="20"/>
      <c r="M81" s="20"/>
      <c r="N81" s="21"/>
      <c r="O81" s="22"/>
      <c r="P81" s="21"/>
    </row>
  </sheetData>
  <sheetProtection/>
  <autoFilter ref="A4:P82"/>
  <mergeCells count="35">
    <mergeCell ref="H3:I3"/>
    <mergeCell ref="J3:M3"/>
    <mergeCell ref="N3:N4"/>
    <mergeCell ref="A23:A26"/>
    <mergeCell ref="B23:B26"/>
    <mergeCell ref="A6:A17"/>
    <mergeCell ref="A22:B22"/>
    <mergeCell ref="A55:A57"/>
    <mergeCell ref="B55:B57"/>
    <mergeCell ref="B50:B54"/>
    <mergeCell ref="A50:A54"/>
    <mergeCell ref="A27:A29"/>
    <mergeCell ref="B27:B29"/>
    <mergeCell ref="A58:A59"/>
    <mergeCell ref="B58:B59"/>
    <mergeCell ref="A30:A37"/>
    <mergeCell ref="B30:B37"/>
    <mergeCell ref="A38:A47"/>
    <mergeCell ref="B38:B47"/>
    <mergeCell ref="A48:A49"/>
    <mergeCell ref="B48:B49"/>
    <mergeCell ref="A1:P1"/>
    <mergeCell ref="A3:A4"/>
    <mergeCell ref="B3:B4"/>
    <mergeCell ref="C3:C4"/>
    <mergeCell ref="D3:D4"/>
    <mergeCell ref="E3:G3"/>
    <mergeCell ref="O3:O4"/>
    <mergeCell ref="P3:P4"/>
    <mergeCell ref="A80:C80"/>
    <mergeCell ref="A60:A68"/>
    <mergeCell ref="B60:B68"/>
    <mergeCell ref="A69:C69"/>
    <mergeCell ref="A70:A79"/>
    <mergeCell ref="B70:B79"/>
  </mergeCells>
  <printOptions/>
  <pageMargins left="0" right="0" top="0.74" bottom="0.43" header="0.19" footer="0.31496062992125984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2023-07-24T07:01:25Z</cp:lastPrinted>
  <dcterms:created xsi:type="dcterms:W3CDTF">2015-02-26T11:08:47Z</dcterms:created>
  <dcterms:modified xsi:type="dcterms:W3CDTF">2023-07-24T07:23:48Z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