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7.07.2025 (ацк)" sheetId="1" state="visible" r:id="rId1"/>
  </sheets>
  <definedNames>
    <definedName name="_xlnm._FilterDatabase" localSheetId="0" hidden="1">'на 07.07.2025 (ацк)'!$A$4:$R$80</definedName>
    <definedName name="Print_Titles" localSheetId="0" hidden="0">'на 07.07.2025 (ацк)'!$3:$4</definedName>
    <definedName name="Print_Area" localSheetId="0" hidden="0">'на 07.07.2025 (ацк)'!$A$1:$R$80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07.07.2025 (ацк)'!$A$4:$R$80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<sst xmlns="http://schemas.openxmlformats.org/spreadsheetml/2006/main" count="158" uniqueCount="158">
  <si>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</si>
  <si>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</si>
  <si>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</si>
  <si>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</si>
  <si>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</si>
  <si>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</si>
  <si>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</si>
  <si>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04.07.2024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</si>
  <si>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</si>
  <si>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</si>
  <si>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</si>
  <si>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</si>
  <si>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</si>
  <si>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</si>
  <si>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</si>
  <si>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</si>
  <si>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июль</t>
  </si>
  <si>
    <t>июль</t>
  </si>
  <si>
    <t xml:space="preserve">с нач. года на 07.07.2025 (по 04.07.2025 вкл.)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</si>
  <si>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</si>
  <si>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</si>
  <si>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</si>
  <si>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июль от плана июля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</si>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</sst>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31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color indexed="2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sz val="14.000000"/>
      <color theme="1" tint="0"/>
      <name val="Times New Roman"/>
    </font>
    <font>
      <i/>
      <sz val="14.000000"/>
      <name val="Times New Roman"/>
    </font>
    <font>
      <b/>
      <sz val="8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12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9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11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2" fillId="0" borderId="0" numFmtId="0" xfId="0" applyFont="1" applyAlignment="1">
      <alignment horizontal="right" vertical="center" wrapText="1"/>
    </xf>
    <xf fontId="12" fillId="0" borderId="0" numFmtId="0" xfId="0" applyFont="1" applyAlignment="1">
      <alignment horizontal="right" vertical="center"/>
    </xf>
    <xf fontId="13" fillId="0" borderId="0" numFmtId="0" xfId="0" applyFont="1" applyAlignment="1">
      <alignment vertical="center"/>
    </xf>
    <xf fontId="14" fillId="0" borderId="2" numFmtId="49" xfId="0" applyNumberFormat="1" applyFont="1" applyBorder="1" applyAlignment="1">
      <alignment horizontal="center" vertical="center" wrapText="1"/>
    </xf>
    <xf fontId="15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center" wrapText="1"/>
    </xf>
    <xf fontId="16" fillId="0" borderId="5" numFmtId="162" xfId="0" applyNumberFormat="1" applyFont="1" applyBorder="1" applyAlignment="1">
      <alignment horizontal="center" vertical="center" wrapText="1"/>
    </xf>
    <xf fontId="15" fillId="0" borderId="4" numFmtId="162" xfId="0" applyNumberFormat="1" applyFont="1" applyBorder="1" applyAlignment="1">
      <alignment horizontal="center" vertical="center" wrapText="1"/>
    </xf>
    <xf fontId="15" fillId="0" borderId="4" numFmtId="163" xfId="0" applyNumberFormat="1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top" wrapText="1"/>
    </xf>
    <xf fontId="15" fillId="0" borderId="4" numFmtId="164" xfId="105" applyNumberFormat="1" applyFont="1" applyBorder="1" applyAlignment="1" applyProtection="1">
      <alignment horizontal="center" vertical="top" wrapText="1"/>
    </xf>
    <xf fontId="14" fillId="0" borderId="6" numFmtId="49" xfId="0" applyNumberFormat="1" applyFont="1" applyBorder="1" applyAlignment="1">
      <alignment horizontal="center" vertical="center" wrapText="1"/>
    </xf>
    <xf fontId="15" fillId="0" borderId="6" numFmtId="0" xfId="0" applyFont="1" applyBorder="1" applyAlignment="1">
      <alignment horizontal="center" vertical="center" wrapText="1"/>
    </xf>
    <xf fontId="14" fillId="0" borderId="7" numFmtId="49" xfId="0" applyNumberFormat="1" applyFont="1" applyBorder="1" applyAlignment="1">
      <alignment horizontal="center" vertical="center" wrapText="1"/>
    </xf>
    <xf fontId="16" fillId="0" borderId="4" numFmtId="162" xfId="0" applyNumberFormat="1" applyFont="1" applyBorder="1" applyAlignment="1">
      <alignment horizontal="center" vertical="center" wrapText="1"/>
    </xf>
    <xf fontId="16" fillId="0" borderId="4" numFmtId="163" xfId="0" applyNumberFormat="1" applyFont="1" applyBorder="1" applyAlignment="1">
      <alignment horizontal="center" vertical="top" wrapText="1"/>
    </xf>
    <xf fontId="15" fillId="0" borderId="4" numFmtId="162" xfId="0" applyNumberFormat="1" applyFont="1" applyBorder="1" applyAlignment="1">
      <alignment horizontal="center" vertical="top" wrapText="1"/>
    </xf>
    <xf fontId="17" fillId="0" borderId="0" numFmtId="0" xfId="0" applyFont="1" applyAlignment="1">
      <alignment vertical="center"/>
    </xf>
    <xf fontId="18" fillId="0" borderId="4" numFmtId="49" xfId="0" applyNumberFormat="1" applyFont="1" applyBorder="1" applyAlignment="1">
      <alignment horizontal="center" vertical="center" wrapText="1"/>
    </xf>
    <xf fontId="16" fillId="0" borderId="4" numFmtId="0" xfId="0" applyFont="1" applyBorder="1" applyAlignment="1">
      <alignment horizontal="center" vertical="top" wrapText="1"/>
    </xf>
    <xf fontId="19" fillId="0" borderId="4" numFmtId="49" xfId="0" applyNumberFormat="1" applyFont="1" applyBorder="1" applyAlignment="1">
      <alignment horizontal="center" vertical="center" wrapText="1"/>
    </xf>
    <xf fontId="17" fillId="0" borderId="4" numFmtId="0" xfId="0" applyFont="1" applyBorder="1" applyAlignment="1">
      <alignment vertical="center" wrapText="1"/>
    </xf>
    <xf fontId="17" fillId="0" borderId="4" numFmtId="162" xfId="0" applyNumberFormat="1" applyFont="1" applyBorder="1" applyAlignment="1">
      <alignment vertical="center" wrapText="1"/>
    </xf>
    <xf fontId="17" fillId="0" borderId="4" numFmtId="164" xfId="0" applyNumberFormat="1" applyFont="1" applyBorder="1" applyAlignment="1">
      <alignment horizontal="right" vertical="center" wrapText="1"/>
    </xf>
    <xf fontId="6" fillId="0" borderId="4" numFmtId="49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top" wrapText="1"/>
    </xf>
    <xf fontId="8" fillId="0" borderId="4" numFmtId="49" xfId="0" applyNumberFormat="1" applyFont="1" applyBorder="1" applyAlignment="1">
      <alignment horizontal="center" vertical="center" wrapText="1"/>
    </xf>
    <xf fontId="9" fillId="0" borderId="4" numFmtId="0" xfId="0" applyFont="1" applyBorder="1" applyAlignment="1">
      <alignment vertical="center" wrapText="1"/>
    </xf>
    <xf fontId="9" fillId="3" borderId="8" numFmtId="162" xfId="0" applyNumberFormat="1" applyFont="1" applyFill="1" applyBorder="1" applyAlignment="1">
      <alignment horizontal="right" vertical="center" wrapText="1"/>
    </xf>
    <xf fontId="9" fillId="0" borderId="8" numFmtId="162" xfId="0" applyNumberFormat="1" applyFont="1" applyBorder="1" applyAlignment="1">
      <alignment horizontal="right" vertical="center" wrapText="1"/>
    </xf>
    <xf fontId="9" fillId="0" borderId="4" numFmtId="162" xfId="0" applyNumberFormat="1" applyFont="1" applyBorder="1" applyAlignment="1">
      <alignment horizontal="right" vertical="center" wrapText="1"/>
    </xf>
    <xf fontId="9" fillId="0" borderId="4" numFmtId="4" xfId="0" applyNumberFormat="1" applyFont="1" applyBorder="1" applyAlignment="1">
      <alignment horizontal="right" vertical="center" wrapText="1"/>
    </xf>
    <xf fontId="9" fillId="0" borderId="4" numFmtId="164" xfId="0" applyNumberFormat="1" applyFont="1" applyBorder="1" applyAlignment="1">
      <alignment horizontal="right" vertical="center" wrapText="1"/>
    </xf>
    <xf fontId="9" fillId="0" borderId="8" numFmtId="162" xfId="0" applyNumberFormat="1" applyFont="1" applyBorder="1" applyAlignment="1">
      <alignment vertical="center" wrapText="1"/>
    </xf>
    <xf fontId="9" fillId="0" borderId="4" numFmtId="162" xfId="0" applyNumberFormat="1" applyFont="1" applyBorder="1" applyAlignment="1">
      <alignment vertical="center" wrapText="1"/>
    </xf>
    <xf fontId="9" fillId="0" borderId="4" numFmtId="4" xfId="0" applyNumberFormat="1" applyFont="1" applyBorder="1" applyAlignment="1">
      <alignment vertical="center" wrapText="1"/>
    </xf>
    <xf fontId="16" fillId="0" borderId="4" numFmtId="49" xfId="0" applyNumberFormat="1" applyFont="1" applyBorder="1" applyAlignment="1">
      <alignment horizontal="center" vertical="top" wrapText="1"/>
    </xf>
    <xf fontId="17" fillId="0" borderId="4" numFmtId="165" xfId="0" applyNumberFormat="1" applyFont="1" applyBorder="1" applyAlignment="1">
      <alignment vertical="center" wrapText="1"/>
    </xf>
    <xf fontId="17" fillId="0" borderId="4" numFmtId="162" xfId="0" applyNumberFormat="1" applyFont="1" applyBorder="1" applyAlignment="1">
      <alignment horizontal="right" vertical="center" wrapText="1"/>
    </xf>
    <xf fontId="8" fillId="0" borderId="4" numFmtId="0" xfId="0" applyFont="1" applyBorder="1" applyAlignment="1">
      <alignment horizontal="center" vertical="center"/>
    </xf>
    <xf fontId="9" fillId="0" borderId="4" numFmtId="165" xfId="0" applyNumberFormat="1" applyFont="1" applyBorder="1" applyAlignment="1">
      <alignment vertical="center" wrapText="1"/>
    </xf>
    <xf fontId="20" fillId="0" borderId="0" numFmtId="0" xfId="0" applyFont="1" applyAlignment="1">
      <alignment vertical="center"/>
    </xf>
    <xf fontId="21" fillId="0" borderId="4" numFmtId="49" xfId="0" applyNumberFormat="1" applyFont="1" applyBorder="1" applyAlignment="1">
      <alignment horizontal="center" vertical="center" wrapText="1"/>
    </xf>
    <xf fontId="22" fillId="0" borderId="4" numFmtId="0" xfId="0" applyFont="1" applyBorder="1" applyAlignment="1">
      <alignment horizontal="center" vertical="top" wrapText="1"/>
    </xf>
    <xf fontId="22" fillId="0" borderId="4" numFmtId="0" xfId="0" applyFont="1" applyBorder="1" applyAlignment="1">
      <alignment vertical="center" wrapText="1"/>
    </xf>
    <xf fontId="22" fillId="0" borderId="4" numFmtId="162" xfId="0" applyNumberFormat="1" applyFont="1" applyBorder="1" applyAlignment="1">
      <alignment horizontal="right" vertical="center" wrapText="1"/>
    </xf>
    <xf fontId="22" fillId="0" borderId="4" numFmtId="164" xfId="0" applyNumberFormat="1" applyFont="1" applyBorder="1" applyAlignment="1">
      <alignment horizontal="right" vertical="center" wrapText="1"/>
    </xf>
    <xf fontId="6" fillId="0" borderId="4" numFmtId="1" xfId="0" applyNumberFormat="1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horizontal="left" vertical="center" wrapText="1"/>
    </xf>
    <xf fontId="6" fillId="0" borderId="4" numFmtId="0" xfId="0" applyFont="1" applyBorder="1" applyAlignment="1">
      <alignment horizontal="center" vertical="center" wrapText="1"/>
    </xf>
    <xf fontId="21" fillId="0" borderId="4" numFmtId="0" xfId="0" applyFont="1" applyBorder="1" applyAlignment="1">
      <alignment horizontal="center" vertical="center" wrapText="1"/>
    </xf>
    <xf fontId="9" fillId="0" borderId="4" numFmtId="165" xfId="0" applyNumberFormat="1" applyFont="1" applyBorder="1" applyAlignment="1">
      <alignment horizontal="left" vertical="center" wrapText="1"/>
    </xf>
    <xf fontId="23" fillId="0" borderId="0" numFmtId="0" xfId="0" applyFont="1" applyAlignment="1">
      <alignment vertical="center"/>
    </xf>
    <xf fontId="24" fillId="0" borderId="4" numFmtId="49" xfId="0" applyNumberFormat="1" applyFont="1" applyBorder="1" applyAlignment="1">
      <alignment horizontal="center" vertical="center" wrapText="1"/>
    </xf>
    <xf fontId="25" fillId="0" borderId="4" numFmtId="0" xfId="0" applyFont="1" applyBorder="1" applyAlignment="1">
      <alignment horizontal="right" vertical="center"/>
    </xf>
    <xf fontId="26" fillId="0" borderId="4" numFmtId="0" xfId="0" applyFont="1" applyBorder="1" applyAlignment="1">
      <alignment horizontal="left" vertical="center" wrapText="1"/>
    </xf>
    <xf fontId="26" fillId="0" borderId="8" numFmtId="162" xfId="0" applyNumberFormat="1" applyFont="1" applyBorder="1" applyAlignment="1">
      <alignment horizontal="right" vertical="center" wrapText="1"/>
    </xf>
    <xf fontId="26" fillId="0" borderId="4" numFmtId="162" xfId="0" applyNumberFormat="1" applyFont="1" applyBorder="1" applyAlignment="1">
      <alignment horizontal="right" vertical="center" wrapText="1"/>
    </xf>
    <xf fontId="26" fillId="0" borderId="4" numFmtId="164" xfId="0" applyNumberFormat="1" applyFont="1" applyBorder="1" applyAlignment="1">
      <alignment horizontal="right" vertical="center" wrapText="1"/>
    </xf>
    <xf fontId="22" fillId="0" borderId="4" numFmtId="49" xfId="0" applyNumberFormat="1" applyFont="1" applyBorder="1" applyAlignment="1">
      <alignment horizontal="center" vertical="top" wrapText="1"/>
    </xf>
    <xf fontId="22" fillId="0" borderId="0" numFmtId="0" xfId="0" applyFont="1" applyAlignment="1">
      <alignment vertical="center"/>
    </xf>
    <xf fontId="22" fillId="0" borderId="4" numFmtId="49" xfId="0" applyNumberFormat="1" applyFont="1" applyBorder="1" applyAlignment="1">
      <alignment horizontal="center" vertical="center" wrapText="1"/>
    </xf>
    <xf fontId="22" fillId="0" borderId="4" numFmtId="162" xfId="0" applyNumberFormat="1" applyFont="1" applyBorder="1" applyAlignment="1">
      <alignment vertical="center" wrapText="1"/>
    </xf>
    <xf fontId="27" fillId="0" borderId="4" numFmtId="162" xfId="0" applyNumberFormat="1" applyFont="1" applyBorder="1" applyAlignment="1">
      <alignment horizontal="right" vertical="center" wrapText="1"/>
    </xf>
    <xf fontId="27" fillId="0" borderId="8" numFmtId="162" xfId="0" applyNumberFormat="1" applyFont="1" applyBorder="1" applyAlignment="1">
      <alignment horizontal="right" vertical="center" wrapText="1"/>
    </xf>
    <xf fontId="28" fillId="0" borderId="4" numFmtId="164" xfId="0" applyNumberFormat="1" applyFont="1" applyBorder="1" applyAlignment="1">
      <alignment horizontal="right" vertical="center" wrapText="1"/>
    </xf>
    <xf fontId="22" fillId="0" borderId="5" numFmtId="162" xfId="0" applyNumberFormat="1" applyFont="1" applyBorder="1" applyAlignment="1">
      <alignment horizontal="right" vertical="center" wrapText="1"/>
    </xf>
    <xf fontId="9" fillId="0" borderId="9" numFmtId="165" xfId="0" applyNumberFormat="1" applyFont="1" applyBorder="1" applyAlignment="1">
      <alignment horizontal="left" vertical="center" wrapText="1"/>
    </xf>
    <xf fontId="9" fillId="3" borderId="4" numFmtId="162" xfId="0" applyNumberFormat="1" applyFont="1" applyFill="1" applyBorder="1" applyAlignment="1">
      <alignment horizontal="right" vertical="center" wrapText="1"/>
    </xf>
    <xf fontId="9" fillId="0" borderId="10" numFmtId="162" xfId="0" applyNumberFormat="1" applyFont="1" applyBorder="1" applyAlignment="1">
      <alignment horizontal="right" vertical="center" wrapText="1"/>
    </xf>
    <xf fontId="12" fillId="0" borderId="4" numFmtId="164" xfId="0" applyNumberFormat="1" applyFont="1" applyBorder="1" applyAlignment="1">
      <alignment horizontal="right" vertical="center" wrapText="1"/>
    </xf>
    <xf fontId="17" fillId="0" borderId="4" numFmtId="0" xfId="0" applyFont="1" applyBorder="1" applyAlignment="1">
      <alignment vertical="center"/>
    </xf>
    <xf fontId="16" fillId="0" borderId="4" numFmtId="165" xfId="0" applyNumberFormat="1" applyFont="1" applyBorder="1" applyAlignment="1">
      <alignment vertical="top"/>
    </xf>
    <xf fontId="29" fillId="0" borderId="4" numFmtId="165" xfId="0" applyNumberFormat="1" applyFont="1" applyBorder="1" applyAlignment="1">
      <alignment vertical="center"/>
    </xf>
    <xf fontId="17" fillId="0" borderId="4" numFmtId="166" xfId="0" applyNumberFormat="1" applyFont="1" applyBorder="1" applyAlignment="1">
      <alignment horizontal="center" vertical="center" wrapText="1"/>
    </xf>
    <xf fontId="18" fillId="0" borderId="4" numFmtId="49" xfId="0" applyNumberFormat="1" applyFont="1" applyBorder="1" applyAlignment="1">
      <alignment vertical="center" wrapText="1"/>
    </xf>
    <xf fontId="16" fillId="0" borderId="4" numFmtId="0" xfId="0" applyFont="1" applyBorder="1" applyAlignment="1">
      <alignment vertical="top" wrapText="1"/>
    </xf>
    <xf fontId="17" fillId="0" borderId="5" numFmtId="162" xfId="0" applyNumberFormat="1" applyFont="1" applyBorder="1" applyAlignment="1">
      <alignment horizontal="right" vertical="center" wrapText="1"/>
    </xf>
    <xf fontId="30" fillId="0" borderId="9" numFmtId="162" xfId="0" applyNumberFormat="1" applyFont="1" applyBorder="1" applyAlignment="1">
      <alignment vertical="center" wrapText="1"/>
    </xf>
    <xf fontId="30" fillId="0" borderId="4" numFmtId="162" xfId="0" applyNumberFormat="1" applyFont="1" applyBorder="1" applyAlignment="1">
      <alignment vertical="center" wrapText="1"/>
    </xf>
    <xf fontId="9" fillId="0" borderId="11" numFmtId="162" xfId="0" applyNumberFormat="1" applyFont="1" applyBorder="1" applyAlignment="1">
      <alignment horizontal="right" vertical="center" wrapText="1"/>
    </xf>
    <xf fontId="9" fillId="3" borderId="8" numFmtId="4" xfId="0" applyNumberFormat="1" applyFont="1" applyFill="1" applyBorder="1" applyAlignment="1">
      <alignment horizontal="right" vertical="center" wrapText="1"/>
    </xf>
    <xf fontId="30" fillId="0" borderId="4" numFmtId="0" xfId="0" applyFont="1" applyBorder="1" applyAlignment="1">
      <alignment horizontal="left" vertical="center" wrapText="1"/>
    </xf>
    <xf fontId="30" fillId="0" borderId="4" numFmtId="0" xfId="0" applyFont="1" applyBorder="1" applyAlignment="1">
      <alignment horizontal="left" vertical="top" wrapText="1"/>
    </xf>
    <xf fontId="9" fillId="3" borderId="8" numFmtId="162" xfId="0" applyNumberFormat="1" applyFont="1" applyFill="1" applyBorder="1" applyAlignment="1">
      <alignment vertical="center" wrapText="1"/>
    </xf>
    <xf fontId="10" fillId="0" borderId="4" numFmtId="164" xfId="0" applyNumberFormat="1" applyFont="1" applyBorder="1" applyAlignment="1">
      <alignment vertical="center" wrapText="1"/>
    </xf>
    <xf fontId="30" fillId="0" borderId="4" numFmtId="165" xfId="0" applyNumberFormat="1" applyFont="1" applyBorder="1" applyAlignment="1">
      <alignment vertical="center" wrapText="1"/>
    </xf>
    <xf fontId="18" fillId="0" borderId="4" numFmtId="0" xfId="0" applyFont="1" applyBorder="1" applyAlignment="1">
      <alignment vertical="center"/>
    </xf>
    <xf fontId="16" fillId="0" borderId="4" numFmtId="165" xfId="0" applyNumberFormat="1" applyFont="1" applyBorder="1" applyAlignment="1">
      <alignment vertical="top" wrapText="1"/>
    </xf>
    <xf fontId="19" fillId="0" borderId="4" numFmtId="165" xfId="0" applyNumberFormat="1" applyFont="1" applyBorder="1" applyAlignment="1">
      <alignment vertical="center" wrapText="1"/>
    </xf>
    <xf fontId="17" fillId="0" borderId="4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2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min="19" max="40" style="1" width="9.140625"/>
    <col min="41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</row>
    <row r="2" ht="15">
      <c r="A2" s="13"/>
      <c r="B2" s="14"/>
      <c r="C2" s="15"/>
      <c r="D2" s="9"/>
      <c r="E2" s="12"/>
      <c r="F2" s="9"/>
      <c r="G2" s="9"/>
      <c r="H2" s="12"/>
      <c r="I2" s="16"/>
      <c r="J2" s="17"/>
      <c r="K2" s="17"/>
      <c r="L2" s="17"/>
      <c r="M2" s="9"/>
      <c r="N2" s="9"/>
      <c r="O2" s="9"/>
      <c r="P2" s="18" t="s">
        <v>1</v>
      </c>
      <c r="Q2" s="18"/>
      <c r="R2" s="19" t="s">
        <v>2</v>
      </c>
      <c r="S2" s="1"/>
      <c r="T2" s="1"/>
      <c r="U2" s="1"/>
      <c r="V2" s="1"/>
      <c r="W2" s="1"/>
      <c r="X2" s="1"/>
      <c r="Y2" s="1"/>
    </row>
    <row r="3" s="20" customFormat="1" ht="15">
      <c r="A3" s="21" t="s">
        <v>3</v>
      </c>
      <c r="B3" s="22" t="s">
        <v>4</v>
      </c>
      <c r="C3" s="23" t="s">
        <v>5</v>
      </c>
      <c r="D3" s="24" t="s">
        <v>6</v>
      </c>
      <c r="E3" s="25" t="s">
        <v>7</v>
      </c>
      <c r="F3" s="26" t="s">
        <v>8</v>
      </c>
      <c r="G3" s="26"/>
      <c r="H3" s="26"/>
      <c r="I3" s="27" t="s">
        <v>9</v>
      </c>
      <c r="J3" s="27"/>
      <c r="K3" s="26" t="s">
        <v>10</v>
      </c>
      <c r="L3" s="26"/>
      <c r="M3" s="26"/>
      <c r="N3" s="26"/>
      <c r="O3" s="28" t="s">
        <v>11</v>
      </c>
      <c r="P3" s="29" t="s">
        <v>12</v>
      </c>
      <c r="Q3" s="29" t="s">
        <v>13</v>
      </c>
      <c r="R3" s="28" t="s">
        <v>14</v>
      </c>
      <c r="S3" s="20"/>
      <c r="T3" s="20"/>
      <c r="U3" s="20"/>
      <c r="V3" s="20"/>
      <c r="W3" s="20"/>
      <c r="X3" s="20"/>
      <c r="Y3" s="20"/>
    </row>
    <row r="4" s="20" customFormat="1" ht="55.5" customHeight="1">
      <c r="A4" s="30"/>
      <c r="B4" s="31"/>
      <c r="C4" s="32"/>
      <c r="D4" s="24"/>
      <c r="E4" s="33"/>
      <c r="F4" s="27" t="s">
        <v>15</v>
      </c>
      <c r="G4" s="27" t="s">
        <v>16</v>
      </c>
      <c r="H4" s="27" t="s">
        <v>17</v>
      </c>
      <c r="I4" s="34" t="s">
        <v>18</v>
      </c>
      <c r="J4" s="26" t="s">
        <v>17</v>
      </c>
      <c r="K4" s="35" t="s">
        <v>19</v>
      </c>
      <c r="L4" s="35" t="s">
        <v>20</v>
      </c>
      <c r="M4" s="35" t="s">
        <v>21</v>
      </c>
      <c r="N4" s="35" t="s">
        <v>22</v>
      </c>
      <c r="O4" s="28"/>
      <c r="P4" s="29"/>
      <c r="Q4" s="29"/>
      <c r="R4" s="28"/>
      <c r="S4" s="20"/>
      <c r="T4" s="20"/>
      <c r="U4" s="20"/>
      <c r="V4" s="20"/>
      <c r="W4" s="20"/>
      <c r="X4" s="20"/>
      <c r="Y4" s="20"/>
    </row>
    <row r="5" s="36" customFormat="1" ht="26.25" customHeight="1">
      <c r="A5" s="37"/>
      <c r="B5" s="38"/>
      <c r="C5" s="39"/>
      <c r="D5" s="40" t="s">
        <v>23</v>
      </c>
      <c r="E5" s="41">
        <f>SUM(E6:E16)</f>
        <v>8968043.5786567163</v>
      </c>
      <c r="F5" s="41">
        <f>SUM(F6:F16)</f>
        <v>28065221.000000007</v>
      </c>
      <c r="G5" s="41">
        <f>SUM(G6:G16)</f>
        <v>13999575.4</v>
      </c>
      <c r="H5" s="41">
        <f>SUM(H6:H16)</f>
        <v>3855845.3999999999</v>
      </c>
      <c r="I5" s="41">
        <f>SUM(I6:I16)</f>
        <v>10547895.549999997</v>
      </c>
      <c r="J5" s="41">
        <f>SUM(J6:J16)</f>
        <v>359051.24999999988</v>
      </c>
      <c r="K5" s="41">
        <f>SUM(K6:K16)</f>
        <v>1579851.9713432833</v>
      </c>
      <c r="L5" s="41">
        <f>SUM(L6:L16)</f>
        <v>-3451679.8500000001</v>
      </c>
      <c r="M5" s="41">
        <f>SUM(M6:M16)</f>
        <v>-17517325.450000007</v>
      </c>
      <c r="N5" s="41">
        <f>SUM(N6:N16)</f>
        <v>-3496794.1499999994</v>
      </c>
      <c r="O5" s="42">
        <f t="shared" ref="O5:O9" si="0">IFERROR(I5/E5,"")</f>
        <v>1.176164618011359</v>
      </c>
      <c r="P5" s="42">
        <f t="shared" ref="P5:P9" si="1">IFERROR(J5/H5,"")</f>
        <v>0.09311868416716082</v>
      </c>
      <c r="Q5" s="42">
        <f t="shared" ref="Q5:Q9" si="2">IFERROR(I5/G5,"")</f>
        <v>0.75344396159329208</v>
      </c>
      <c r="R5" s="42">
        <f t="shared" ref="R5:R9" si="3">IFERROR(I5/F5,"")</f>
        <v>0.37583511457116242</v>
      </c>
      <c r="S5" s="36"/>
      <c r="T5" s="36"/>
      <c r="U5" s="36"/>
      <c r="V5" s="36"/>
      <c r="W5" s="36"/>
      <c r="X5" s="36"/>
      <c r="Y5" s="36"/>
    </row>
    <row r="6" ht="17.25">
      <c r="A6" s="43"/>
      <c r="B6" s="44" t="s">
        <v>24</v>
      </c>
      <c r="C6" s="45" t="s">
        <v>25</v>
      </c>
      <c r="D6" s="46" t="s">
        <v>26</v>
      </c>
      <c r="E6" s="47">
        <f>7662315.27/33.5*30</f>
        <v>6861774.8686567163</v>
      </c>
      <c r="F6" s="48">
        <v>21478832.200000003</v>
      </c>
      <c r="G6" s="48">
        <f>10742601.7-100000</f>
        <v>10642601.699999999</v>
      </c>
      <c r="H6" s="48">
        <f>3103492.3-100000</f>
        <v>3003492.2999999998</v>
      </c>
      <c r="I6" s="48">
        <v>7973503.3999999994</v>
      </c>
      <c r="J6" s="48">
        <v>334393.94999999995</v>
      </c>
      <c r="K6" s="49">
        <f t="shared" ref="K6:K9" si="4">I6-E6</f>
        <v>1111728.5313432831</v>
      </c>
      <c r="L6" s="49">
        <f t="shared" ref="L6:L9" si="5">I6-G6</f>
        <v>-2669098.2999999998</v>
      </c>
      <c r="M6" s="49">
        <f t="shared" ref="M6:M9" si="6">I6-F6</f>
        <v>-13505328.800000004</v>
      </c>
      <c r="N6" s="50">
        <f t="shared" ref="N6:N9" si="7">J6-H6</f>
        <v>-2669098.3499999996</v>
      </c>
      <c r="O6" s="51">
        <f t="shared" si="0"/>
        <v>1.1620176343035455</v>
      </c>
      <c r="P6" s="51">
        <f t="shared" si="1"/>
        <v>0.11133504487426187</v>
      </c>
      <c r="Q6" s="51">
        <f t="shared" si="2"/>
        <v>0.74920622088112154</v>
      </c>
      <c r="R6" s="51">
        <f t="shared" si="3"/>
        <v>0.37122611349419632</v>
      </c>
      <c r="S6" s="1"/>
      <c r="T6" s="1"/>
      <c r="U6" s="1"/>
      <c r="V6" s="1"/>
      <c r="W6" s="1"/>
      <c r="X6" s="1"/>
      <c r="Y6" s="1"/>
    </row>
    <row r="7" ht="17.25">
      <c r="A7" s="43"/>
      <c r="B7" s="44" t="s">
        <v>27</v>
      </c>
      <c r="C7" s="45" t="s">
        <v>28</v>
      </c>
      <c r="D7" s="46" t="s">
        <v>29</v>
      </c>
      <c r="E7" s="52">
        <v>38553.659999999996</v>
      </c>
      <c r="F7" s="52">
        <v>82008.100000000006</v>
      </c>
      <c r="G7" s="52">
        <v>46638.5</v>
      </c>
      <c r="H7" s="52">
        <v>7227</v>
      </c>
      <c r="I7" s="52">
        <v>41236.759999999995</v>
      </c>
      <c r="J7" s="52">
        <v>6834.9399999999996</v>
      </c>
      <c r="K7" s="53">
        <f t="shared" si="4"/>
        <v>2683.0999999999985</v>
      </c>
      <c r="L7" s="53">
        <f t="shared" si="5"/>
        <v>-5401.7400000000052</v>
      </c>
      <c r="M7" s="53">
        <f t="shared" si="6"/>
        <v>-40771.340000000011</v>
      </c>
      <c r="N7" s="53">
        <f t="shared" si="7"/>
        <v>-392.0600000000004</v>
      </c>
      <c r="O7" s="51">
        <f t="shared" si="0"/>
        <v>1.0695939114470585</v>
      </c>
      <c r="P7" s="51">
        <f t="shared" si="1"/>
        <v>0.94575065725750651</v>
      </c>
      <c r="Q7" s="51">
        <f t="shared" si="2"/>
        <v>0.88417852203651481</v>
      </c>
      <c r="R7" s="51">
        <f t="shared" si="3"/>
        <v>0.50283764652516016</v>
      </c>
      <c r="S7" s="1"/>
      <c r="T7" s="1"/>
      <c r="U7" s="1"/>
      <c r="V7" s="1"/>
      <c r="W7" s="1"/>
      <c r="X7" s="1"/>
      <c r="Y7" s="1"/>
    </row>
    <row r="8" ht="17.25">
      <c r="A8" s="43"/>
      <c r="B8" s="44" t="s">
        <v>24</v>
      </c>
      <c r="C8" s="45" t="s">
        <v>30</v>
      </c>
      <c r="D8" s="46" t="s">
        <v>31</v>
      </c>
      <c r="E8" s="52">
        <v>0</v>
      </c>
      <c r="F8" s="52">
        <v>52994.300000000003</v>
      </c>
      <c r="G8" s="52">
        <v>32497.099999999999</v>
      </c>
      <c r="H8" s="52">
        <v>20497.099999999999</v>
      </c>
      <c r="I8" s="52">
        <v>8501.9899999999998</v>
      </c>
      <c r="J8" s="52">
        <v>0</v>
      </c>
      <c r="K8" s="53">
        <f t="shared" si="4"/>
        <v>8501.9899999999998</v>
      </c>
      <c r="L8" s="53">
        <f t="shared" si="5"/>
        <v>-23995.110000000001</v>
      </c>
      <c r="M8" s="53">
        <f t="shared" si="6"/>
        <v>-44492.310000000005</v>
      </c>
      <c r="N8" s="53">
        <f t="shared" si="7"/>
        <v>-20497.099999999999</v>
      </c>
      <c r="O8" s="51" t="str">
        <f t="shared" si="0"/>
        <v/>
      </c>
      <c r="P8" s="51">
        <f t="shared" si="1"/>
        <v>0</v>
      </c>
      <c r="Q8" s="51">
        <f t="shared" si="2"/>
        <v>0.26162303713254415</v>
      </c>
      <c r="R8" s="51">
        <f t="shared" si="3"/>
        <v>0.16043215968509819</v>
      </c>
      <c r="S8" s="1"/>
      <c r="T8" s="1"/>
      <c r="U8" s="1"/>
      <c r="V8" s="1"/>
      <c r="W8" s="1"/>
      <c r="X8" s="1"/>
      <c r="Y8" s="1"/>
    </row>
    <row r="9" ht="17.25">
      <c r="A9" s="43"/>
      <c r="B9" s="44" t="s">
        <v>24</v>
      </c>
      <c r="C9" s="45" t="s">
        <v>32</v>
      </c>
      <c r="D9" s="46" t="s">
        <v>33</v>
      </c>
      <c r="E9" s="52">
        <v>636713.07999999996</v>
      </c>
      <c r="F9" s="52">
        <v>1259409.1000000001</v>
      </c>
      <c r="G9" s="52">
        <v>911774.39999999991</v>
      </c>
      <c r="H9" s="52">
        <v>227925</v>
      </c>
      <c r="I9" s="52">
        <v>673025.02000000014</v>
      </c>
      <c r="J9" s="52">
        <v>1708.4400000000001</v>
      </c>
      <c r="K9" s="53">
        <f t="shared" si="4"/>
        <v>36311.940000000177</v>
      </c>
      <c r="L9" s="53">
        <f t="shared" si="5"/>
        <v>-238749.37999999977</v>
      </c>
      <c r="M9" s="53">
        <f t="shared" si="6"/>
        <v>-586384.07999999996</v>
      </c>
      <c r="N9" s="53">
        <f t="shared" si="7"/>
        <v>-226216.56</v>
      </c>
      <c r="O9" s="51">
        <f t="shared" si="0"/>
        <v>1.0570303031940229</v>
      </c>
      <c r="P9" s="51">
        <f t="shared" si="1"/>
        <v>0.0074956235603817045</v>
      </c>
      <c r="Q9" s="51">
        <f t="shared" si="2"/>
        <v>0.73814862536171255</v>
      </c>
      <c r="R9" s="51">
        <f t="shared" si="3"/>
        <v>0.53439745671204064</v>
      </c>
      <c r="S9" s="1"/>
      <c r="T9" s="1"/>
      <c r="U9" s="1"/>
      <c r="V9" s="1"/>
      <c r="W9" s="1"/>
      <c r="X9" s="1"/>
      <c r="Y9" s="1"/>
    </row>
    <row r="10" ht="17.25">
      <c r="A10" s="43"/>
      <c r="B10" s="44" t="s">
        <v>24</v>
      </c>
      <c r="C10" s="45" t="s">
        <v>34</v>
      </c>
      <c r="D10" s="46" t="s">
        <v>35</v>
      </c>
      <c r="E10" s="52">
        <v>533.16999999999996</v>
      </c>
      <c r="F10" s="52">
        <v>0</v>
      </c>
      <c r="G10" s="52">
        <v>0</v>
      </c>
      <c r="H10" s="52">
        <v>0</v>
      </c>
      <c r="I10" s="52">
        <v>179.27000000000001</v>
      </c>
      <c r="J10" s="52">
        <v>0.96999999999999997</v>
      </c>
      <c r="K10" s="53">
        <f t="shared" ref="K10:K45" si="8">I10-E10</f>
        <v>-353.89999999999998</v>
      </c>
      <c r="L10" s="53">
        <f t="shared" ref="L10:L73" si="9">I10-G10</f>
        <v>179.27000000000001</v>
      </c>
      <c r="M10" s="53">
        <f t="shared" ref="M10:M45" si="10">I10-F10</f>
        <v>179.27000000000001</v>
      </c>
      <c r="N10" s="53">
        <f t="shared" ref="N10:N45" si="11">J10-H10</f>
        <v>0.96999999999999997</v>
      </c>
      <c r="O10" s="51">
        <f t="shared" ref="O10:O73" si="12">IFERROR(I10/E10,"")</f>
        <v>0.33623422173040496</v>
      </c>
      <c r="P10" s="51" t="str">
        <f t="shared" ref="P10:P73" si="13">IFERROR(J10/H10,"")</f>
        <v/>
      </c>
      <c r="Q10" s="51" t="str">
        <f t="shared" ref="Q10:Q73" si="14">IFERROR(I10/G10,"")</f>
        <v/>
      </c>
      <c r="R10" s="51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</row>
    <row r="11" ht="17.25">
      <c r="A11" s="43"/>
      <c r="B11" s="44" t="s">
        <v>24</v>
      </c>
      <c r="C11" s="45" t="s">
        <v>36</v>
      </c>
      <c r="D11" s="46" t="s">
        <v>37</v>
      </c>
      <c r="E11" s="52">
        <v>1106.9400000000001</v>
      </c>
      <c r="F11" s="52">
        <v>1208.9000000000001</v>
      </c>
      <c r="G11" s="52">
        <v>1142.9000000000001</v>
      </c>
      <c r="H11" s="52">
        <v>243</v>
      </c>
      <c r="I11" s="52">
        <v>1102.51</v>
      </c>
      <c r="J11" s="52">
        <v>0</v>
      </c>
      <c r="K11" s="53">
        <f t="shared" si="8"/>
        <v>-4.4300000000000637</v>
      </c>
      <c r="L11" s="53">
        <f t="shared" si="9"/>
        <v>-40.3900000000001</v>
      </c>
      <c r="M11" s="53">
        <f t="shared" si="10"/>
        <v>-106.3900000000001</v>
      </c>
      <c r="N11" s="53">
        <f t="shared" si="11"/>
        <v>-243</v>
      </c>
      <c r="O11" s="51">
        <f t="shared" si="12"/>
        <v>0.99599797640341836</v>
      </c>
      <c r="P11" s="51">
        <f t="shared" si="13"/>
        <v>0</v>
      </c>
      <c r="Q11" s="51">
        <f t="shared" si="14"/>
        <v>0.96466007524717812</v>
      </c>
      <c r="R11" s="51">
        <f t="shared" si="15"/>
        <v>0.91199437505169978</v>
      </c>
      <c r="S11" s="1"/>
      <c r="T11" s="1"/>
      <c r="U11" s="1"/>
      <c r="V11" s="1"/>
      <c r="W11" s="1"/>
      <c r="X11" s="1"/>
      <c r="Y11" s="1"/>
    </row>
    <row r="12" ht="17.25">
      <c r="A12" s="43"/>
      <c r="B12" s="44" t="s">
        <v>24</v>
      </c>
      <c r="C12" s="45" t="s">
        <v>38</v>
      </c>
      <c r="D12" s="46" t="s">
        <v>39</v>
      </c>
      <c r="E12" s="52">
        <v>308484.22999999998</v>
      </c>
      <c r="F12" s="52">
        <v>615839.40000000002</v>
      </c>
      <c r="G12" s="52">
        <v>329592.29999999999</v>
      </c>
      <c r="H12" s="52">
        <v>16000</v>
      </c>
      <c r="I12" s="52">
        <v>329123.36000000004</v>
      </c>
      <c r="J12" s="52">
        <v>3009.75</v>
      </c>
      <c r="K12" s="53">
        <f t="shared" si="8"/>
        <v>20639.130000000063</v>
      </c>
      <c r="L12" s="53">
        <f t="shared" si="9"/>
        <v>-468.93999999994412</v>
      </c>
      <c r="M12" s="53">
        <f t="shared" si="10"/>
        <v>-286716.03999999998</v>
      </c>
      <c r="N12" s="53">
        <f t="shared" si="11"/>
        <v>-12990.25</v>
      </c>
      <c r="O12" s="51">
        <f t="shared" si="12"/>
        <v>1.0669049759853204</v>
      </c>
      <c r="P12" s="51">
        <f t="shared" si="13"/>
        <v>0.188109375</v>
      </c>
      <c r="Q12" s="51">
        <f t="shared" si="14"/>
        <v>0.99857721190695314</v>
      </c>
      <c r="R12" s="51">
        <f t="shared" si="15"/>
        <v>0.53443050249789159</v>
      </c>
      <c r="S12" s="1"/>
      <c r="T12" s="1"/>
      <c r="U12" s="1"/>
      <c r="V12" s="1"/>
      <c r="W12" s="1"/>
      <c r="X12" s="1"/>
      <c r="Y12" s="1"/>
    </row>
    <row r="13" ht="17.25">
      <c r="A13" s="43"/>
      <c r="B13" s="44" t="s">
        <v>40</v>
      </c>
      <c r="C13" s="45" t="s">
        <v>41</v>
      </c>
      <c r="D13" s="46" t="s">
        <v>42</v>
      </c>
      <c r="E13" s="52">
        <v>63588.209999999999</v>
      </c>
      <c r="F13" s="52">
        <v>1486170.1000000001</v>
      </c>
      <c r="G13" s="52">
        <v>71400</v>
      </c>
      <c r="H13" s="52">
        <v>5000</v>
      </c>
      <c r="I13" s="52">
        <v>78725.110000000001</v>
      </c>
      <c r="J13" s="52">
        <v>1093.6300000000001</v>
      </c>
      <c r="K13" s="53">
        <f t="shared" si="8"/>
        <v>15136.900000000001</v>
      </c>
      <c r="L13" s="53">
        <f t="shared" si="9"/>
        <v>7325.1100000000006</v>
      </c>
      <c r="M13" s="53">
        <f t="shared" si="10"/>
        <v>-1407444.99</v>
      </c>
      <c r="N13" s="53">
        <f t="shared" si="11"/>
        <v>-3906.3699999999999</v>
      </c>
      <c r="O13" s="51">
        <f t="shared" si="12"/>
        <v>1.2380457006102232</v>
      </c>
      <c r="P13" s="51">
        <f t="shared" si="13"/>
        <v>0.21872600000000003</v>
      </c>
      <c r="Q13" s="51">
        <f t="shared" si="14"/>
        <v>1.1025925770308123</v>
      </c>
      <c r="R13" s="51">
        <f t="shared" si="15"/>
        <v>0.052971803160351563</v>
      </c>
      <c r="S13" s="1"/>
      <c r="T13" s="1"/>
      <c r="U13" s="1"/>
      <c r="V13" s="1"/>
      <c r="W13" s="1"/>
      <c r="X13" s="1"/>
      <c r="Y13" s="1"/>
    </row>
    <row r="14" ht="17.25">
      <c r="A14" s="43"/>
      <c r="B14" s="44" t="s">
        <v>40</v>
      </c>
      <c r="C14" s="45" t="s">
        <v>43</v>
      </c>
      <c r="D14" s="46" t="s">
        <v>44</v>
      </c>
      <c r="E14" s="52">
        <v>945495.14000000001</v>
      </c>
      <c r="F14" s="52">
        <v>2439929.7999999998</v>
      </c>
      <c r="G14" s="52">
        <v>1596886</v>
      </c>
      <c r="H14" s="52">
        <v>522162</v>
      </c>
      <c r="I14" s="52">
        <v>1115725.9399999999</v>
      </c>
      <c r="J14" s="52">
        <v>1455.9100000000001</v>
      </c>
      <c r="K14" s="53">
        <f t="shared" si="8"/>
        <v>170230.79999999993</v>
      </c>
      <c r="L14" s="53">
        <f t="shared" si="9"/>
        <v>-481160.06000000006</v>
      </c>
      <c r="M14" s="53">
        <f t="shared" si="10"/>
        <v>-1324203.8599999999</v>
      </c>
      <c r="N14" s="54">
        <f t="shared" si="11"/>
        <v>-520706.09000000003</v>
      </c>
      <c r="O14" s="51">
        <f t="shared" si="12"/>
        <v>1.1800440772228611</v>
      </c>
      <c r="P14" s="51">
        <f t="shared" si="13"/>
        <v>0.0027882343027642764</v>
      </c>
      <c r="Q14" s="51">
        <f t="shared" si="14"/>
        <v>0.69868853506136319</v>
      </c>
      <c r="R14" s="51">
        <f t="shared" si="15"/>
        <v>0.45727788561785671</v>
      </c>
      <c r="S14" s="1"/>
      <c r="T14" s="1"/>
      <c r="U14" s="1"/>
      <c r="V14" s="1"/>
      <c r="W14" s="1"/>
      <c r="X14" s="1"/>
      <c r="Y14" s="1"/>
    </row>
    <row r="15" ht="17.25">
      <c r="A15" s="43"/>
      <c r="B15" s="44"/>
      <c r="C15" s="45" t="s">
        <v>45</v>
      </c>
      <c r="D15" s="46" t="s">
        <v>46</v>
      </c>
      <c r="E15" s="52">
        <v>111794.28</v>
      </c>
      <c r="F15" s="52">
        <v>648829.10000000009</v>
      </c>
      <c r="G15" s="52">
        <v>367042.5</v>
      </c>
      <c r="H15" s="52">
        <v>53299</v>
      </c>
      <c r="I15" s="52">
        <v>326772.19</v>
      </c>
      <c r="J15" s="52">
        <v>10553.66</v>
      </c>
      <c r="K15" s="53">
        <f t="shared" si="8"/>
        <v>214977.91</v>
      </c>
      <c r="L15" s="53">
        <f t="shared" si="9"/>
        <v>-40270.309999999998</v>
      </c>
      <c r="M15" s="53">
        <f t="shared" si="10"/>
        <v>-322056.91000000009</v>
      </c>
      <c r="N15" s="54">
        <f t="shared" si="11"/>
        <v>-42745.339999999997</v>
      </c>
      <c r="O15" s="51">
        <f t="shared" si="12"/>
        <v>2.9229777230105154</v>
      </c>
      <c r="P15" s="51">
        <f t="shared" si="13"/>
        <v>0.19800859303176419</v>
      </c>
      <c r="Q15" s="51">
        <f t="shared" si="14"/>
        <v>0.89028434036930326</v>
      </c>
      <c r="R15" s="51">
        <f t="shared" si="15"/>
        <v>0.50363368412421694</v>
      </c>
      <c r="S15" s="1"/>
      <c r="T15" s="1"/>
      <c r="U15" s="1"/>
      <c r="V15" s="1"/>
      <c r="W15" s="1"/>
      <c r="X15" s="1"/>
      <c r="Y15" s="1"/>
    </row>
    <row r="16" ht="17.25" hidden="1">
      <c r="A16" s="43"/>
      <c r="B16" s="44" t="s">
        <v>40</v>
      </c>
      <c r="C16" s="45" t="s">
        <v>47</v>
      </c>
      <c r="D16" s="46" t="s">
        <v>48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f t="shared" si="8"/>
        <v>0</v>
      </c>
      <c r="L16" s="53">
        <f t="shared" si="9"/>
        <v>0</v>
      </c>
      <c r="M16" s="53">
        <f t="shared" si="10"/>
        <v>0</v>
      </c>
      <c r="N16" s="53">
        <f t="shared" si="11"/>
        <v>0</v>
      </c>
      <c r="O16" s="51" t="str">
        <f t="shared" si="12"/>
        <v/>
      </c>
      <c r="P16" s="51" t="str">
        <f t="shared" si="13"/>
        <v/>
      </c>
      <c r="Q16" s="51" t="str">
        <f t="shared" si="14"/>
        <v/>
      </c>
      <c r="R16" s="51" t="str">
        <f t="shared" si="15"/>
        <v/>
      </c>
      <c r="S16" s="1"/>
      <c r="T16" s="1"/>
      <c r="U16" s="1"/>
      <c r="V16" s="1"/>
      <c r="W16" s="1"/>
      <c r="X16" s="1"/>
      <c r="Y16" s="1"/>
    </row>
    <row r="17" s="36" customFormat="1" ht="27.75" customHeight="1">
      <c r="A17" s="37"/>
      <c r="B17" s="55"/>
      <c r="C17" s="39"/>
      <c r="D17" s="56" t="s">
        <v>49</v>
      </c>
      <c r="E17" s="57">
        <f>E21+E24+E33+E46+E51+E54+E57+E66</f>
        <v>4178907.3600000003</v>
      </c>
      <c r="F17" s="57">
        <f>F21+F24+F33+F46+F51+F54+F57+F66</f>
        <v>7828488.9699999997</v>
      </c>
      <c r="G17" s="57">
        <f>G21+G24+G33+G46+G51+G54+G57+G66</f>
        <v>4297490.9699999997</v>
      </c>
      <c r="H17" s="57">
        <f>H21+H24+H33+H46+H51+H54+H57+H66</f>
        <v>798899.96999999997</v>
      </c>
      <c r="I17" s="57">
        <f>I21+I24+I33+I46+I51+I54+I57+I66</f>
        <v>3862655.5299999998</v>
      </c>
      <c r="J17" s="57">
        <f>J21+J24+J33+J46+J51+J54+J57+J66</f>
        <v>84060.360000000001</v>
      </c>
      <c r="K17" s="57">
        <f t="shared" si="8"/>
        <v>-316251.83000000054</v>
      </c>
      <c r="L17" s="57">
        <f t="shared" si="9"/>
        <v>-434835.43999999994</v>
      </c>
      <c r="M17" s="57">
        <f t="shared" si="10"/>
        <v>-3965833.4399999999</v>
      </c>
      <c r="N17" s="57">
        <f t="shared" si="11"/>
        <v>-714839.60999999999</v>
      </c>
      <c r="O17" s="42">
        <f t="shared" si="12"/>
        <v>0.92432188542222182</v>
      </c>
      <c r="P17" s="42">
        <f t="shared" si="13"/>
        <v>0.10522013162674171</v>
      </c>
      <c r="Q17" s="42">
        <f t="shared" si="14"/>
        <v>0.89881643893250573</v>
      </c>
      <c r="R17" s="42">
        <f t="shared" si="15"/>
        <v>0.49341010057014872</v>
      </c>
      <c r="S17" s="36"/>
      <c r="T17" s="36"/>
      <c r="U17" s="36"/>
      <c r="V17" s="36"/>
      <c r="W17" s="36"/>
      <c r="X17" s="36"/>
      <c r="Y17" s="36"/>
    </row>
    <row r="18" ht="18" customHeight="1">
      <c r="A18" s="43" t="s">
        <v>50</v>
      </c>
      <c r="B18" s="44" t="s">
        <v>27</v>
      </c>
      <c r="C18" s="58" t="s">
        <v>51</v>
      </c>
      <c r="D18" s="59" t="s">
        <v>52</v>
      </c>
      <c r="E18" s="49">
        <v>112166.82000000001</v>
      </c>
      <c r="F18" s="49">
        <v>261278.39999999999</v>
      </c>
      <c r="G18" s="49">
        <v>147947.20000000001</v>
      </c>
      <c r="H18" s="49">
        <v>22724.599999999999</v>
      </c>
      <c r="I18" s="49">
        <v>139574.28</v>
      </c>
      <c r="J18" s="49">
        <v>4758.1599999999999</v>
      </c>
      <c r="K18" s="49">
        <f t="shared" si="8"/>
        <v>27407.459999999992</v>
      </c>
      <c r="L18" s="49">
        <f t="shared" si="9"/>
        <v>-8372.9200000000128</v>
      </c>
      <c r="M18" s="49">
        <f t="shared" si="10"/>
        <v>-121704.12</v>
      </c>
      <c r="N18" s="50">
        <f t="shared" si="11"/>
        <v>-17966.439999999999</v>
      </c>
      <c r="O18" s="51">
        <f t="shared" si="12"/>
        <v>1.244345520359764</v>
      </c>
      <c r="P18" s="51">
        <f t="shared" si="13"/>
        <v>0.20938366351882981</v>
      </c>
      <c r="Q18" s="51">
        <f t="shared" si="14"/>
        <v>0.94340602593357625</v>
      </c>
      <c r="R18" s="51">
        <f t="shared" si="15"/>
        <v>0.53419754560652544</v>
      </c>
      <c r="S18" s="1"/>
      <c r="T18" s="1"/>
      <c r="U18" s="1"/>
      <c r="V18" s="1"/>
      <c r="W18" s="1"/>
      <c r="X18" s="1"/>
      <c r="Y18" s="1"/>
    </row>
    <row r="19" ht="17.25">
      <c r="A19" s="43"/>
      <c r="B19" s="44"/>
      <c r="C19" s="45" t="s">
        <v>53</v>
      </c>
      <c r="D19" s="59" t="s">
        <v>54</v>
      </c>
      <c r="E19" s="49">
        <v>4074.3499999999999</v>
      </c>
      <c r="F19" s="49">
        <v>3515.5999999999999</v>
      </c>
      <c r="G19" s="49">
        <v>3515.5999999999999</v>
      </c>
      <c r="H19" s="49">
        <v>0</v>
      </c>
      <c r="I19" s="49">
        <v>647</v>
      </c>
      <c r="J19" s="49">
        <v>0</v>
      </c>
      <c r="K19" s="49">
        <f t="shared" si="8"/>
        <v>-3427.3499999999999</v>
      </c>
      <c r="L19" s="49">
        <f t="shared" si="9"/>
        <v>-2868.5999999999999</v>
      </c>
      <c r="M19" s="49">
        <f t="shared" si="10"/>
        <v>-2868.5999999999999</v>
      </c>
      <c r="N19" s="50">
        <f t="shared" si="11"/>
        <v>0</v>
      </c>
      <c r="O19" s="51">
        <f t="shared" si="12"/>
        <v>0.15879833593088469</v>
      </c>
      <c r="P19" s="51" t="str">
        <f t="shared" si="13"/>
        <v/>
      </c>
      <c r="Q19" s="51">
        <f t="shared" si="14"/>
        <v>0.18403686426214588</v>
      </c>
      <c r="R19" s="51">
        <f t="shared" si="15"/>
        <v>0.18403686426214588</v>
      </c>
      <c r="S19" s="1"/>
      <c r="T19" s="1"/>
      <c r="U19" s="1"/>
      <c r="V19" s="1"/>
      <c r="W19" s="1"/>
      <c r="X19" s="1"/>
      <c r="Y19" s="1"/>
    </row>
    <row r="20" ht="17.25">
      <c r="A20" s="43"/>
      <c r="B20" s="44"/>
      <c r="C20" s="45" t="s">
        <v>55</v>
      </c>
      <c r="D20" s="59" t="s">
        <v>56</v>
      </c>
      <c r="E20" s="49">
        <v>71560.570000000007</v>
      </c>
      <c r="F20" s="49">
        <f>181842.6+58512.3</f>
        <v>240354.90000000002</v>
      </c>
      <c r="G20" s="49">
        <f>105514.6+20512.3</f>
        <v>126026.90000000001</v>
      </c>
      <c r="H20" s="49">
        <f>15328+20512.3</f>
        <v>35840.300000000003</v>
      </c>
      <c r="I20" s="49">
        <v>122438.74000000001</v>
      </c>
      <c r="J20" s="49">
        <v>4179.5299999999997</v>
      </c>
      <c r="K20" s="49">
        <f t="shared" si="8"/>
        <v>50878.169999999998</v>
      </c>
      <c r="L20" s="49">
        <f t="shared" si="9"/>
        <v>-3588.1600000000035</v>
      </c>
      <c r="M20" s="49">
        <f t="shared" si="10"/>
        <v>-117916.16000000002</v>
      </c>
      <c r="N20" s="50">
        <f t="shared" si="11"/>
        <v>-31660.770000000004</v>
      </c>
      <c r="O20" s="51">
        <f t="shared" si="12"/>
        <v>1.7109805022514493</v>
      </c>
      <c r="P20" s="51">
        <f t="shared" si="13"/>
        <v>0.11661537431327303</v>
      </c>
      <c r="Q20" s="51">
        <f t="shared" si="14"/>
        <v>0.97152861809661273</v>
      </c>
      <c r="R20" s="51">
        <f t="shared" si="15"/>
        <v>0.50940812939532332</v>
      </c>
      <c r="S20" s="1"/>
      <c r="T20" s="1"/>
      <c r="U20" s="1"/>
      <c r="V20" s="1"/>
      <c r="W20" s="1"/>
      <c r="X20" s="1"/>
      <c r="Y20" s="1"/>
    </row>
    <row r="21" s="60" customFormat="1" ht="14.25">
      <c r="A21" s="61"/>
      <c r="B21" s="62"/>
      <c r="C21" s="61"/>
      <c r="D21" s="63" t="s">
        <v>57</v>
      </c>
      <c r="E21" s="64">
        <f>SUM(E18:E20)</f>
        <v>187801.74000000002</v>
      </c>
      <c r="F21" s="64">
        <f>SUM(F18:F20)</f>
        <v>505148.90000000002</v>
      </c>
      <c r="G21" s="64">
        <f>SUM(G18:G20)</f>
        <v>277489.70000000001</v>
      </c>
      <c r="H21" s="64">
        <f>SUM(H18:H20)</f>
        <v>58564.900000000001</v>
      </c>
      <c r="I21" s="64">
        <f>SUM(I18:I20)</f>
        <v>262660.02000000002</v>
      </c>
      <c r="J21" s="64">
        <f>SUM(J18:J20)</f>
        <v>8937.6899999999987</v>
      </c>
      <c r="K21" s="64">
        <f t="shared" si="8"/>
        <v>74858.279999999999</v>
      </c>
      <c r="L21" s="64">
        <f t="shared" si="9"/>
        <v>-14829.679999999993</v>
      </c>
      <c r="M21" s="64">
        <f t="shared" si="10"/>
        <v>-242488.88</v>
      </c>
      <c r="N21" s="64">
        <f t="shared" si="11"/>
        <v>-49627.210000000006</v>
      </c>
      <c r="O21" s="65">
        <f t="shared" si="12"/>
        <v>1.3986026966523313</v>
      </c>
      <c r="P21" s="65">
        <f t="shared" si="13"/>
        <v>0.15261171794026795</v>
      </c>
      <c r="Q21" s="65">
        <f t="shared" si="14"/>
        <v>0.94655772808864624</v>
      </c>
      <c r="R21" s="65">
        <f t="shared" si="15"/>
        <v>0.51996553887378549</v>
      </c>
      <c r="S21" s="60"/>
      <c r="T21" s="60"/>
      <c r="U21" s="60"/>
      <c r="V21" s="60"/>
      <c r="W21" s="60"/>
      <c r="X21" s="60"/>
      <c r="Y21" s="60"/>
    </row>
    <row r="22" ht="34.5">
      <c r="A22" s="66">
        <v>951</v>
      </c>
      <c r="B22" s="44" t="s">
        <v>24</v>
      </c>
      <c r="C22" s="67" t="s">
        <v>58</v>
      </c>
      <c r="D22" s="68" t="s">
        <v>59</v>
      </c>
      <c r="E22" s="48">
        <v>73579.309999999998</v>
      </c>
      <c r="F22" s="48">
        <v>104746.7</v>
      </c>
      <c r="G22" s="48">
        <v>56821.599999999999</v>
      </c>
      <c r="H22" s="48">
        <v>9042</v>
      </c>
      <c r="I22" s="48">
        <v>55359.919999999998</v>
      </c>
      <c r="J22" s="48">
        <v>6305.0900000000001</v>
      </c>
      <c r="K22" s="49">
        <f t="shared" si="8"/>
        <v>-18219.389999999999</v>
      </c>
      <c r="L22" s="49">
        <f t="shared" si="9"/>
        <v>-1461.6800000000003</v>
      </c>
      <c r="M22" s="49">
        <f t="shared" si="10"/>
        <v>-49386.779999999999</v>
      </c>
      <c r="N22" s="49">
        <f t="shared" si="11"/>
        <v>-2736.9099999999999</v>
      </c>
      <c r="O22" s="51">
        <f t="shared" si="12"/>
        <v>0.75238433195418652</v>
      </c>
      <c r="P22" s="51">
        <f t="shared" si="13"/>
        <v>0.69731143552311436</v>
      </c>
      <c r="Q22" s="51">
        <f t="shared" si="14"/>
        <v>0.97427597955706979</v>
      </c>
      <c r="R22" s="51">
        <f t="shared" si="15"/>
        <v>0.52851230635428137</v>
      </c>
      <c r="S22" s="1"/>
      <c r="T22" s="1"/>
      <c r="U22" s="1"/>
      <c r="V22" s="1"/>
      <c r="W22" s="1"/>
      <c r="X22" s="1"/>
      <c r="Y22" s="1"/>
    </row>
    <row r="23" ht="17.25">
      <c r="A23" s="69"/>
      <c r="B23" s="44"/>
      <c r="C23" s="67" t="s">
        <v>60</v>
      </c>
      <c r="D23" s="59" t="s">
        <v>61</v>
      </c>
      <c r="E23" s="48">
        <v>8011.6300000000001</v>
      </c>
      <c r="F23" s="48">
        <v>11046.9</v>
      </c>
      <c r="G23" s="48">
        <v>5802.1000000000004</v>
      </c>
      <c r="H23" s="48">
        <v>1590</v>
      </c>
      <c r="I23" s="48">
        <v>9365.6700000000001</v>
      </c>
      <c r="J23" s="48">
        <v>164.68000000000001</v>
      </c>
      <c r="K23" s="49">
        <f t="shared" si="8"/>
        <v>1354.04</v>
      </c>
      <c r="L23" s="49">
        <f t="shared" si="9"/>
        <v>3563.5699999999997</v>
      </c>
      <c r="M23" s="49">
        <f t="shared" si="10"/>
        <v>-1681.2299999999996</v>
      </c>
      <c r="N23" s="49">
        <f t="shared" si="11"/>
        <v>-1425.3199999999999</v>
      </c>
      <c r="O23" s="51">
        <f t="shared" si="12"/>
        <v>1.1690093027261619</v>
      </c>
      <c r="P23" s="51">
        <f t="shared" si="13"/>
        <v>0.10357232704402516</v>
      </c>
      <c r="Q23" s="51">
        <f t="shared" si="14"/>
        <v>1.614186242912049</v>
      </c>
      <c r="R23" s="51">
        <f t="shared" si="15"/>
        <v>0.8478097927925482</v>
      </c>
      <c r="S23" s="1"/>
      <c r="T23" s="1"/>
      <c r="U23" s="1"/>
      <c r="V23" s="1"/>
      <c r="W23" s="1"/>
      <c r="X23" s="1"/>
      <c r="Y23" s="1"/>
    </row>
    <row r="24" s="60" customFormat="1" ht="14.25">
      <c r="A24" s="70"/>
      <c r="B24" s="62"/>
      <c r="C24" s="61"/>
      <c r="D24" s="63" t="s">
        <v>57</v>
      </c>
      <c r="E24" s="64">
        <f>E22+E23</f>
        <v>81590.940000000002</v>
      </c>
      <c r="F24" s="64">
        <f>F22+F23</f>
        <v>115793.59999999999</v>
      </c>
      <c r="G24" s="64">
        <f>G22+G23</f>
        <v>62623.699999999997</v>
      </c>
      <c r="H24" s="64">
        <f>H22+H23</f>
        <v>10632</v>
      </c>
      <c r="I24" s="64">
        <f>I22+I23</f>
        <v>64725.589999999997</v>
      </c>
      <c r="J24" s="64">
        <f>J22+J23</f>
        <v>6469.7700000000004</v>
      </c>
      <c r="K24" s="64">
        <f t="shared" si="8"/>
        <v>-16865.350000000006</v>
      </c>
      <c r="L24" s="64">
        <f t="shared" si="9"/>
        <v>2101.8899999999994</v>
      </c>
      <c r="M24" s="64">
        <f t="shared" si="10"/>
        <v>-51068.009999999995</v>
      </c>
      <c r="N24" s="64">
        <f t="shared" si="11"/>
        <v>-4162.2299999999996</v>
      </c>
      <c r="O24" s="65">
        <f t="shared" si="12"/>
        <v>0.79329383875219472</v>
      </c>
      <c r="P24" s="65">
        <f t="shared" si="13"/>
        <v>0.60851862302483073</v>
      </c>
      <c r="Q24" s="65">
        <f t="shared" si="14"/>
        <v>1.0335638105062461</v>
      </c>
      <c r="R24" s="65">
        <f t="shared" si="15"/>
        <v>0.5589738120241533</v>
      </c>
      <c r="S24" s="60"/>
      <c r="T24" s="60"/>
      <c r="U24" s="60"/>
      <c r="V24" s="60"/>
      <c r="W24" s="60"/>
      <c r="X24" s="60"/>
      <c r="Y24" s="60"/>
    </row>
    <row r="25" ht="17.25">
      <c r="A25" s="43" t="s">
        <v>62</v>
      </c>
      <c r="B25" s="44" t="s">
        <v>63</v>
      </c>
      <c r="C25" s="45" t="s">
        <v>64</v>
      </c>
      <c r="D25" s="59" t="s">
        <v>65</v>
      </c>
      <c r="E25" s="49">
        <v>0</v>
      </c>
      <c r="F25" s="49">
        <v>7680</v>
      </c>
      <c r="G25" s="49">
        <v>0</v>
      </c>
      <c r="H25" s="49">
        <v>0</v>
      </c>
      <c r="I25" s="49">
        <v>0</v>
      </c>
      <c r="J25" s="49">
        <v>0</v>
      </c>
      <c r="K25" s="49">
        <f t="shared" si="8"/>
        <v>0</v>
      </c>
      <c r="L25" s="49">
        <f t="shared" si="9"/>
        <v>0</v>
      </c>
      <c r="M25" s="49">
        <f t="shared" si="10"/>
        <v>-7680</v>
      </c>
      <c r="N25" s="49">
        <f t="shared" si="11"/>
        <v>0</v>
      </c>
      <c r="O25" s="51" t="str">
        <f t="shared" si="12"/>
        <v/>
      </c>
      <c r="P25" s="51" t="str">
        <f t="shared" si="13"/>
        <v/>
      </c>
      <c r="Q25" s="51" t="str">
        <f t="shared" si="14"/>
        <v/>
      </c>
      <c r="R25" s="51">
        <f t="shared" si="15"/>
        <v>0</v>
      </c>
      <c r="S25" s="1"/>
      <c r="T25" s="1"/>
      <c r="U25" s="1"/>
      <c r="V25" s="1"/>
      <c r="W25" s="1"/>
      <c r="X25" s="1"/>
      <c r="Y25" s="1"/>
    </row>
    <row r="26" ht="17.25">
      <c r="A26" s="43"/>
      <c r="B26" s="44"/>
      <c r="C26" s="45" t="s">
        <v>66</v>
      </c>
      <c r="D26" s="71" t="s">
        <v>67</v>
      </c>
      <c r="E26" s="48">
        <v>42673.029999999999</v>
      </c>
      <c r="F26" s="48">
        <v>80987</v>
      </c>
      <c r="G26" s="48">
        <v>45600</v>
      </c>
      <c r="H26" s="48">
        <v>6000</v>
      </c>
      <c r="I26" s="48">
        <v>41413.489999999998</v>
      </c>
      <c r="J26" s="48">
        <v>1234.4299999999998</v>
      </c>
      <c r="K26" s="49">
        <f t="shared" si="8"/>
        <v>-1259.5400000000009</v>
      </c>
      <c r="L26" s="49">
        <f t="shared" si="9"/>
        <v>-4186.510000000002</v>
      </c>
      <c r="M26" s="49">
        <f t="shared" si="10"/>
        <v>-39573.510000000002</v>
      </c>
      <c r="N26" s="49">
        <f t="shared" si="11"/>
        <v>-4765.5699999999997</v>
      </c>
      <c r="O26" s="51">
        <f t="shared" si="12"/>
        <v>0.970483933294636</v>
      </c>
      <c r="P26" s="51">
        <f t="shared" si="13"/>
        <v>0.2057383333333333</v>
      </c>
      <c r="Q26" s="51">
        <f t="shared" si="14"/>
        <v>0.90819057017543858</v>
      </c>
      <c r="R26" s="51">
        <f t="shared" si="15"/>
        <v>0.51135972440021238</v>
      </c>
      <c r="S26" s="1"/>
      <c r="T26" s="1"/>
      <c r="U26" s="1"/>
      <c r="V26" s="1"/>
      <c r="W26" s="1"/>
      <c r="X26" s="1"/>
      <c r="Y26" s="1"/>
    </row>
    <row r="27" ht="17.25">
      <c r="A27" s="43"/>
      <c r="B27" s="44"/>
      <c r="C27" s="58" t="s">
        <v>68</v>
      </c>
      <c r="D27" s="68" t="s">
        <v>69</v>
      </c>
      <c r="E27" s="48">
        <v>719.55999999999995</v>
      </c>
      <c r="F27" s="48">
        <v>557</v>
      </c>
      <c r="G27" s="48">
        <v>324.89999999999998</v>
      </c>
      <c r="H27" s="48">
        <v>46.399999999999999</v>
      </c>
      <c r="I27" s="48">
        <v>476.25999999999999</v>
      </c>
      <c r="J27" s="48">
        <v>29.170000000000002</v>
      </c>
      <c r="K27" s="49">
        <f t="shared" si="8"/>
        <v>-243.29999999999995</v>
      </c>
      <c r="L27" s="49">
        <f t="shared" si="9"/>
        <v>151.36000000000001</v>
      </c>
      <c r="M27" s="49">
        <f t="shared" si="10"/>
        <v>-80.740000000000009</v>
      </c>
      <c r="N27" s="49">
        <f t="shared" si="11"/>
        <v>-17.229999999999997</v>
      </c>
      <c r="O27" s="51">
        <f t="shared" si="12"/>
        <v>0.66187670242926233</v>
      </c>
      <c r="P27" s="51">
        <f t="shared" si="13"/>
        <v>0.62866379310344833</v>
      </c>
      <c r="Q27" s="51">
        <f t="shared" si="14"/>
        <v>1.4658664204370577</v>
      </c>
      <c r="R27" s="51">
        <f t="shared" si="15"/>
        <v>0.85504488330341111</v>
      </c>
      <c r="S27" s="1"/>
      <c r="T27" s="1"/>
      <c r="U27" s="1"/>
      <c r="V27" s="1"/>
      <c r="W27" s="1"/>
      <c r="X27" s="1"/>
      <c r="Y27" s="1"/>
    </row>
    <row r="28" ht="17.25">
      <c r="A28" s="43"/>
      <c r="B28" s="44"/>
      <c r="C28" s="58" t="s">
        <v>70</v>
      </c>
      <c r="D28" s="68" t="s">
        <v>71</v>
      </c>
      <c r="E28" s="49">
        <v>0</v>
      </c>
      <c r="F28" s="49">
        <f>8021.3+5846.2</f>
        <v>13867.5</v>
      </c>
      <c r="G28" s="49">
        <v>0</v>
      </c>
      <c r="H28" s="49">
        <v>0</v>
      </c>
      <c r="I28" s="49">
        <v>0</v>
      </c>
      <c r="J28" s="49">
        <v>0</v>
      </c>
      <c r="K28" s="49">
        <f t="shared" si="8"/>
        <v>0</v>
      </c>
      <c r="L28" s="49">
        <f t="shared" si="9"/>
        <v>0</v>
      </c>
      <c r="M28" s="49">
        <f t="shared" si="10"/>
        <v>-13867.5</v>
      </c>
      <c r="N28" s="49">
        <f t="shared" si="11"/>
        <v>0</v>
      </c>
      <c r="O28" s="51" t="str">
        <f t="shared" si="12"/>
        <v/>
      </c>
      <c r="P28" s="51" t="str">
        <f t="shared" si="13"/>
        <v/>
      </c>
      <c r="Q28" s="51" t="str">
        <f t="shared" si="14"/>
        <v/>
      </c>
      <c r="R28" s="51">
        <f t="shared" si="15"/>
        <v>0</v>
      </c>
      <c r="S28" s="1"/>
      <c r="T28" s="1"/>
      <c r="U28" s="1"/>
      <c r="V28" s="1"/>
      <c r="W28" s="1"/>
      <c r="X28" s="1"/>
      <c r="Y28" s="1"/>
    </row>
    <row r="29" s="1" customFormat="1" ht="17.25">
      <c r="A29" s="43"/>
      <c r="B29" s="44"/>
      <c r="C29" s="58" t="s">
        <v>72</v>
      </c>
      <c r="D29" s="68" t="s">
        <v>73</v>
      </c>
      <c r="E29" s="49">
        <f>E30+E32+E31</f>
        <v>289412.04999999999</v>
      </c>
      <c r="F29" s="49">
        <f>F30+F32+F31</f>
        <v>84753.799999999988</v>
      </c>
      <c r="G29" s="49">
        <f>G30+G32+G31</f>
        <v>52500.199999999997</v>
      </c>
      <c r="H29" s="49">
        <f>H30+H32+H31</f>
        <v>21630.299999999999</v>
      </c>
      <c r="I29" s="49">
        <f>I30+I32+I31</f>
        <v>32290.779999999999</v>
      </c>
      <c r="J29" s="49">
        <f>J30+J32+J31</f>
        <v>136.02000000000001</v>
      </c>
      <c r="K29" s="49">
        <f t="shared" si="8"/>
        <v>-257121.26999999999</v>
      </c>
      <c r="L29" s="49">
        <f t="shared" si="9"/>
        <v>-20209.419999999998</v>
      </c>
      <c r="M29" s="49">
        <f t="shared" si="10"/>
        <v>-52463.01999999999</v>
      </c>
      <c r="N29" s="49">
        <f t="shared" si="11"/>
        <v>-21494.279999999999</v>
      </c>
      <c r="O29" s="51">
        <f t="shared" si="12"/>
        <v>0.11157372334704101</v>
      </c>
      <c r="P29" s="51">
        <f t="shared" si="13"/>
        <v>0.006288400993051415</v>
      </c>
      <c r="Q29" s="51">
        <f t="shared" si="14"/>
        <v>0.61506013310425489</v>
      </c>
      <c r="R29" s="51">
        <f t="shared" si="15"/>
        <v>0.38099507042752068</v>
      </c>
      <c r="S29" s="1"/>
      <c r="T29" s="1"/>
      <c r="U29" s="1"/>
      <c r="V29" s="1"/>
      <c r="W29" s="1"/>
      <c r="X29" s="1"/>
      <c r="Y29" s="1"/>
    </row>
    <row r="30" s="72" customFormat="1" ht="17.25" customHeight="1">
      <c r="A30" s="73"/>
      <c r="B30" s="62"/>
      <c r="C30" s="74" t="s">
        <v>74</v>
      </c>
      <c r="D30" s="75" t="s">
        <v>75</v>
      </c>
      <c r="E30" s="76">
        <v>272509.56</v>
      </c>
      <c r="F30" s="76">
        <v>45675.099999999999</v>
      </c>
      <c r="G30" s="76">
        <v>31595.5</v>
      </c>
      <c r="H30" s="76">
        <v>18300</v>
      </c>
      <c r="I30" s="76">
        <v>13286.889999999999</v>
      </c>
      <c r="J30" s="76">
        <v>0</v>
      </c>
      <c r="K30" s="77">
        <f t="shared" si="8"/>
        <v>-259222.66999999998</v>
      </c>
      <c r="L30" s="77">
        <f t="shared" si="9"/>
        <v>-18308.610000000001</v>
      </c>
      <c r="M30" s="77">
        <f t="shared" si="10"/>
        <v>-32388.209999999999</v>
      </c>
      <c r="N30" s="77">
        <f t="shared" si="11"/>
        <v>-18300</v>
      </c>
      <c r="O30" s="78">
        <f t="shared" si="12"/>
        <v>0.048757518818789328</v>
      </c>
      <c r="P30" s="78">
        <f t="shared" si="13"/>
        <v>0</v>
      </c>
      <c r="Q30" s="78">
        <f t="shared" si="14"/>
        <v>0.4205310882878891</v>
      </c>
      <c r="R30" s="78">
        <f t="shared" si="15"/>
        <v>0.2909000746577457</v>
      </c>
      <c r="S30" s="72"/>
      <c r="T30" s="72"/>
      <c r="U30" s="72"/>
      <c r="V30" s="72"/>
      <c r="W30" s="72"/>
      <c r="X30" s="72"/>
      <c r="Y30" s="72"/>
    </row>
    <row r="31" s="72" customFormat="1" ht="16.5" customHeight="1">
      <c r="A31" s="73"/>
      <c r="B31" s="62"/>
      <c r="C31" s="74" t="s">
        <v>76</v>
      </c>
      <c r="D31" s="75" t="s">
        <v>77</v>
      </c>
      <c r="E31" s="76">
        <v>0</v>
      </c>
      <c r="F31" s="76">
        <v>481</v>
      </c>
      <c r="G31" s="76">
        <v>301.10000000000002</v>
      </c>
      <c r="H31" s="76">
        <v>0</v>
      </c>
      <c r="I31" s="76">
        <v>0</v>
      </c>
      <c r="J31" s="76">
        <v>0</v>
      </c>
      <c r="K31" s="77">
        <f t="shared" si="8"/>
        <v>0</v>
      </c>
      <c r="L31" s="77">
        <f t="shared" si="9"/>
        <v>-301.10000000000002</v>
      </c>
      <c r="M31" s="77">
        <f t="shared" si="10"/>
        <v>-481</v>
      </c>
      <c r="N31" s="77">
        <f t="shared" si="11"/>
        <v>0</v>
      </c>
      <c r="O31" s="78" t="str">
        <f t="shared" si="12"/>
        <v/>
      </c>
      <c r="P31" s="78" t="str">
        <f t="shared" si="13"/>
        <v/>
      </c>
      <c r="Q31" s="78">
        <f t="shared" si="14"/>
        <v>0</v>
      </c>
      <c r="R31" s="78">
        <f t="shared" si="15"/>
        <v>0</v>
      </c>
      <c r="S31" s="72"/>
      <c r="T31" s="72"/>
      <c r="U31" s="72"/>
      <c r="V31" s="72"/>
      <c r="W31" s="72"/>
      <c r="X31" s="72"/>
      <c r="Y31" s="72"/>
    </row>
    <row r="32" s="72" customFormat="1" ht="17.25" customHeight="1">
      <c r="A32" s="73"/>
      <c r="B32" s="62"/>
      <c r="C32" s="74" t="s">
        <v>78</v>
      </c>
      <c r="D32" s="75" t="s">
        <v>79</v>
      </c>
      <c r="E32" s="76">
        <v>16902.490000000002</v>
      </c>
      <c r="F32" s="76">
        <v>38597.699999999997</v>
      </c>
      <c r="G32" s="76">
        <v>20603.599999999999</v>
      </c>
      <c r="H32" s="76">
        <v>3330.3000000000002</v>
      </c>
      <c r="I32" s="76">
        <v>19003.889999999999</v>
      </c>
      <c r="J32" s="76">
        <v>136.02000000000001</v>
      </c>
      <c r="K32" s="77">
        <f t="shared" si="8"/>
        <v>2101.3999999999978</v>
      </c>
      <c r="L32" s="77">
        <f t="shared" si="9"/>
        <v>-1599.7099999999991</v>
      </c>
      <c r="M32" s="77">
        <f t="shared" si="10"/>
        <v>-19593.809999999998</v>
      </c>
      <c r="N32" s="77">
        <f t="shared" si="11"/>
        <v>-3194.2800000000002</v>
      </c>
      <c r="O32" s="78">
        <f t="shared" si="12"/>
        <v>1.124324877577209</v>
      </c>
      <c r="P32" s="78">
        <f t="shared" si="13"/>
        <v>0.040843167282226825</v>
      </c>
      <c r="Q32" s="78">
        <f t="shared" si="14"/>
        <v>0.92235774330699494</v>
      </c>
      <c r="R32" s="78">
        <f t="shared" si="15"/>
        <v>0.49235809387606</v>
      </c>
      <c r="S32" s="72"/>
      <c r="T32" s="72"/>
      <c r="U32" s="72"/>
      <c r="V32" s="72"/>
      <c r="W32" s="72"/>
      <c r="X32" s="72"/>
      <c r="Y32" s="72"/>
    </row>
    <row r="33" s="60" customFormat="1" ht="14.25">
      <c r="A33" s="61"/>
      <c r="B33" s="79"/>
      <c r="C33" s="61"/>
      <c r="D33" s="63" t="s">
        <v>57</v>
      </c>
      <c r="E33" s="64">
        <f>SUM(E25:E29)</f>
        <v>332804.64000000001</v>
      </c>
      <c r="F33" s="64">
        <f>SUM(F25:F29)</f>
        <v>187845.29999999999</v>
      </c>
      <c r="G33" s="64">
        <f>SUM(G25:G29)</f>
        <v>98425.100000000006</v>
      </c>
      <c r="H33" s="64">
        <f>SUM(H25:H29)</f>
        <v>27676.699999999997</v>
      </c>
      <c r="I33" s="64">
        <f>SUM(I25:I29)</f>
        <v>74180.529999999999</v>
      </c>
      <c r="J33" s="64">
        <f>SUM(J25:J29)</f>
        <v>1399.6199999999999</v>
      </c>
      <c r="K33" s="64">
        <f t="shared" si="8"/>
        <v>-258624.11000000002</v>
      </c>
      <c r="L33" s="64">
        <f t="shared" si="9"/>
        <v>-24244.570000000007</v>
      </c>
      <c r="M33" s="64">
        <f t="shared" si="10"/>
        <v>-113664.76999999999</v>
      </c>
      <c r="N33" s="64">
        <f t="shared" si="11"/>
        <v>-26277.079999999998</v>
      </c>
      <c r="O33" s="65">
        <f t="shared" si="12"/>
        <v>0.22289511949112248</v>
      </c>
      <c r="P33" s="65">
        <f t="shared" si="13"/>
        <v>0.050570335336221441</v>
      </c>
      <c r="Q33" s="65">
        <f t="shared" si="14"/>
        <v>0.75367492641612754</v>
      </c>
      <c r="R33" s="65">
        <f t="shared" si="15"/>
        <v>0.3949022413656344</v>
      </c>
      <c r="S33" s="60"/>
      <c r="T33" s="60"/>
      <c r="U33" s="60"/>
      <c r="V33" s="60"/>
      <c r="W33" s="60"/>
      <c r="X33" s="60"/>
      <c r="Y33" s="60"/>
    </row>
    <row r="34" ht="19.5" customHeight="1">
      <c r="A34" s="43" t="s">
        <v>80</v>
      </c>
      <c r="B34" s="44" t="s">
        <v>40</v>
      </c>
      <c r="C34" s="58" t="s">
        <v>81</v>
      </c>
      <c r="D34" s="68" t="s">
        <v>82</v>
      </c>
      <c r="E34" s="48">
        <v>158091.32000000001</v>
      </c>
      <c r="F34" s="48">
        <v>293156.20000000001</v>
      </c>
      <c r="G34" s="48">
        <v>158400</v>
      </c>
      <c r="H34" s="48">
        <v>17400</v>
      </c>
      <c r="I34" s="48">
        <v>152774.53</v>
      </c>
      <c r="J34" s="48">
        <v>553.59000000000003</v>
      </c>
      <c r="K34" s="49">
        <f t="shared" si="8"/>
        <v>-5316.7900000000081</v>
      </c>
      <c r="L34" s="49">
        <f t="shared" si="9"/>
        <v>-5625.4700000000012</v>
      </c>
      <c r="M34" s="49">
        <f t="shared" si="10"/>
        <v>-140381.67000000001</v>
      </c>
      <c r="N34" s="49">
        <f t="shared" si="11"/>
        <v>-16846.41</v>
      </c>
      <c r="O34" s="51">
        <f t="shared" si="12"/>
        <v>0.9663688683224354</v>
      </c>
      <c r="P34" s="51">
        <f t="shared" si="13"/>
        <v>0.031815517241379314</v>
      </c>
      <c r="Q34" s="51">
        <f t="shared" si="14"/>
        <v>0.96448566919191914</v>
      </c>
      <c r="R34" s="51">
        <f t="shared" si="15"/>
        <v>0.52113695702154683</v>
      </c>
      <c r="S34" s="1"/>
      <c r="T34" s="1"/>
      <c r="U34" s="1"/>
      <c r="V34" s="1"/>
      <c r="W34" s="1"/>
      <c r="X34" s="1"/>
      <c r="Y34" s="1"/>
    </row>
    <row r="35" ht="37.5" customHeight="1">
      <c r="A35" s="43"/>
      <c r="B35" s="44"/>
      <c r="C35" s="45" t="s">
        <v>83</v>
      </c>
      <c r="D35" s="68" t="s">
        <v>84</v>
      </c>
      <c r="E35" s="48">
        <v>13734.18</v>
      </c>
      <c r="F35" s="48">
        <v>100194.10000000001</v>
      </c>
      <c r="G35" s="48">
        <v>81192</v>
      </c>
      <c r="H35" s="48">
        <v>19000</v>
      </c>
      <c r="I35" s="48">
        <v>97131.529999999999</v>
      </c>
      <c r="J35" s="48">
        <v>0</v>
      </c>
      <c r="K35" s="49">
        <f t="shared" si="8"/>
        <v>83397.350000000006</v>
      </c>
      <c r="L35" s="49">
        <f t="shared" si="9"/>
        <v>15939.529999999999</v>
      </c>
      <c r="M35" s="49">
        <f t="shared" si="10"/>
        <v>-3062.570000000007</v>
      </c>
      <c r="N35" s="49">
        <f t="shared" si="11"/>
        <v>-19000</v>
      </c>
      <c r="O35" s="51">
        <f t="shared" si="12"/>
        <v>7.0722482157653381</v>
      </c>
      <c r="P35" s="51">
        <f t="shared" si="13"/>
        <v>0</v>
      </c>
      <c r="Q35" s="51">
        <f t="shared" si="14"/>
        <v>1.1963189723125431</v>
      </c>
      <c r="R35" s="51">
        <f t="shared" si="15"/>
        <v>0.96943362932547916</v>
      </c>
      <c r="S35" s="1"/>
      <c r="T35" s="1"/>
      <c r="U35" s="1"/>
      <c r="V35" s="1"/>
      <c r="W35" s="1"/>
      <c r="X35" s="1"/>
      <c r="Y35" s="1"/>
    </row>
    <row r="36" ht="34.5">
      <c r="A36" s="43"/>
      <c r="B36" s="44"/>
      <c r="C36" s="45" t="s">
        <v>85</v>
      </c>
      <c r="D36" s="59" t="s">
        <v>86</v>
      </c>
      <c r="E36" s="48">
        <v>25017.950000000001</v>
      </c>
      <c r="F36" s="48">
        <v>53573.900000000001</v>
      </c>
      <c r="G36" s="48">
        <v>31653</v>
      </c>
      <c r="H36" s="48">
        <v>3990</v>
      </c>
      <c r="I36" s="48">
        <v>35176.059999999998</v>
      </c>
      <c r="J36" s="48">
        <v>0.73999999999999999</v>
      </c>
      <c r="K36" s="49">
        <f t="shared" si="8"/>
        <v>10158.109999999997</v>
      </c>
      <c r="L36" s="49">
        <f t="shared" si="9"/>
        <v>3523.0599999999977</v>
      </c>
      <c r="M36" s="49">
        <f t="shared" si="10"/>
        <v>-18397.840000000004</v>
      </c>
      <c r="N36" s="49">
        <f t="shared" si="11"/>
        <v>-3989.2600000000002</v>
      </c>
      <c r="O36" s="51">
        <f t="shared" si="12"/>
        <v>1.4060328684004884</v>
      </c>
      <c r="P36" s="51">
        <f t="shared" si="13"/>
        <v>0.00018546365914786966</v>
      </c>
      <c r="Q36" s="51">
        <f t="shared" si="14"/>
        <v>1.1113025621584052</v>
      </c>
      <c r="R36" s="51">
        <f t="shared" si="15"/>
        <v>0.65658949600458427</v>
      </c>
      <c r="S36" s="1"/>
      <c r="T36" s="1"/>
      <c r="U36" s="1"/>
      <c r="V36" s="1"/>
      <c r="W36" s="1"/>
      <c r="X36" s="1"/>
      <c r="Y36" s="1"/>
    </row>
    <row r="37" ht="40.5" customHeight="1">
      <c r="A37" s="43"/>
      <c r="B37" s="44"/>
      <c r="C37" s="45" t="s">
        <v>87</v>
      </c>
      <c r="D37" s="68" t="s">
        <v>88</v>
      </c>
      <c r="E37" s="48">
        <v>408112.03000000003</v>
      </c>
      <c r="F37" s="48">
        <v>115809.2</v>
      </c>
      <c r="G37" s="48">
        <v>19505.099999999999</v>
      </c>
      <c r="H37" s="48">
        <v>9701.7999999999993</v>
      </c>
      <c r="I37" s="48">
        <v>10778.75</v>
      </c>
      <c r="J37" s="48">
        <v>0</v>
      </c>
      <c r="K37" s="49">
        <f t="shared" si="8"/>
        <v>-397333.28000000003</v>
      </c>
      <c r="L37" s="49">
        <f t="shared" si="9"/>
        <v>-8726.3499999999985</v>
      </c>
      <c r="M37" s="49">
        <f t="shared" si="10"/>
        <v>-105030.45</v>
      </c>
      <c r="N37" s="49">
        <f t="shared" si="11"/>
        <v>-9701.7999999999993</v>
      </c>
      <c r="O37" s="51">
        <f t="shared" si="12"/>
        <v>0.026411252812126119</v>
      </c>
      <c r="P37" s="51">
        <f t="shared" si="13"/>
        <v>0</v>
      </c>
      <c r="Q37" s="51">
        <f t="shared" si="14"/>
        <v>0.55261188099522696</v>
      </c>
      <c r="R37" s="51">
        <f t="shared" si="15"/>
        <v>0.093073348231401301</v>
      </c>
      <c r="S37" s="1"/>
      <c r="T37" s="1"/>
      <c r="U37" s="1"/>
      <c r="V37" s="1"/>
      <c r="W37" s="1"/>
      <c r="X37" s="1"/>
      <c r="Y37" s="1"/>
    </row>
    <row r="38" ht="17.25">
      <c r="A38" s="43"/>
      <c r="B38" s="44"/>
      <c r="C38" s="45" t="s">
        <v>89</v>
      </c>
      <c r="D38" s="59" t="s">
        <v>90</v>
      </c>
      <c r="E38" s="48">
        <v>2931.1100000000001</v>
      </c>
      <c r="F38" s="48">
        <v>3436.3000000000002</v>
      </c>
      <c r="G38" s="48">
        <v>847</v>
      </c>
      <c r="H38" s="48">
        <v>0</v>
      </c>
      <c r="I38" s="48">
        <v>2253.6199999999999</v>
      </c>
      <c r="J38" s="48">
        <v>14.09</v>
      </c>
      <c r="K38" s="49">
        <f t="shared" si="8"/>
        <v>-677.49000000000024</v>
      </c>
      <c r="L38" s="49">
        <f t="shared" si="9"/>
        <v>1406.6199999999999</v>
      </c>
      <c r="M38" s="49">
        <f t="shared" si="10"/>
        <v>-1182.6800000000003</v>
      </c>
      <c r="N38" s="49">
        <f t="shared" si="11"/>
        <v>14.09</v>
      </c>
      <c r="O38" s="51">
        <f t="shared" si="12"/>
        <v>0.76886230813582557</v>
      </c>
      <c r="P38" s="51" t="str">
        <f t="shared" si="13"/>
        <v/>
      </c>
      <c r="Q38" s="51">
        <f t="shared" si="14"/>
        <v>2.6607083825265643</v>
      </c>
      <c r="R38" s="51">
        <f t="shared" si="15"/>
        <v>0.65582748886884146</v>
      </c>
      <c r="S38" s="1"/>
      <c r="T38" s="1"/>
      <c r="U38" s="1"/>
      <c r="V38" s="1"/>
      <c r="W38" s="1"/>
      <c r="X38" s="1"/>
      <c r="Y38" s="1"/>
    </row>
    <row r="39" ht="17.25">
      <c r="A39" s="43"/>
      <c r="B39" s="44"/>
      <c r="C39" s="45" t="s">
        <v>91</v>
      </c>
      <c r="D39" s="59" t="s">
        <v>92</v>
      </c>
      <c r="E39" s="48">
        <v>151.06</v>
      </c>
      <c r="F39" s="48">
        <v>0</v>
      </c>
      <c r="G39" s="48">
        <v>0</v>
      </c>
      <c r="H39" s="48">
        <v>0</v>
      </c>
      <c r="I39" s="48">
        <v>300.87</v>
      </c>
      <c r="J39" s="48">
        <v>0</v>
      </c>
      <c r="K39" s="49">
        <f t="shared" si="8"/>
        <v>149.81</v>
      </c>
      <c r="L39" s="49">
        <f t="shared" si="9"/>
        <v>300.87</v>
      </c>
      <c r="M39" s="49">
        <f t="shared" si="10"/>
        <v>300.87</v>
      </c>
      <c r="N39" s="49">
        <f t="shared" si="11"/>
        <v>0</v>
      </c>
      <c r="O39" s="51">
        <f t="shared" si="12"/>
        <v>1.9917251423275519</v>
      </c>
      <c r="P39" s="51" t="str">
        <f t="shared" si="13"/>
        <v/>
      </c>
      <c r="Q39" s="51" t="str">
        <f t="shared" si="14"/>
        <v/>
      </c>
      <c r="R39" s="51" t="str">
        <f t="shared" si="15"/>
        <v/>
      </c>
      <c r="S39" s="1"/>
      <c r="T39" s="1"/>
      <c r="U39" s="1"/>
      <c r="V39" s="1"/>
      <c r="W39" s="1"/>
      <c r="X39" s="1"/>
      <c r="Y39" s="1"/>
    </row>
    <row r="40" ht="34.5">
      <c r="A40" s="43"/>
      <c r="B40" s="44"/>
      <c r="C40" s="58" t="s">
        <v>93</v>
      </c>
      <c r="D40" s="68" t="s">
        <v>94</v>
      </c>
      <c r="E40" s="49">
        <v>105419.56</v>
      </c>
      <c r="F40" s="49">
        <v>202788.70000000001</v>
      </c>
      <c r="G40" s="49">
        <v>107630</v>
      </c>
      <c r="H40" s="49">
        <v>18100</v>
      </c>
      <c r="I40" s="49">
        <v>87407.259999999995</v>
      </c>
      <c r="J40" s="49">
        <v>1377.74</v>
      </c>
      <c r="K40" s="49">
        <f t="shared" si="8"/>
        <v>-18012.300000000003</v>
      </c>
      <c r="L40" s="49">
        <f t="shared" si="9"/>
        <v>-20222.740000000005</v>
      </c>
      <c r="M40" s="49">
        <f t="shared" si="10"/>
        <v>-115381.44000000002</v>
      </c>
      <c r="N40" s="49">
        <f t="shared" si="11"/>
        <v>-16722.259999999998</v>
      </c>
      <c r="O40" s="51">
        <f t="shared" si="12"/>
        <v>0.82913702163052094</v>
      </c>
      <c r="P40" s="51">
        <f t="shared" si="13"/>
        <v>0.076118232044198902</v>
      </c>
      <c r="Q40" s="51">
        <f t="shared" si="14"/>
        <v>0.81210870575118455</v>
      </c>
      <c r="R40" s="51">
        <f t="shared" si="15"/>
        <v>0.43102628499516982</v>
      </c>
      <c r="S40" s="1"/>
      <c r="T40" s="1"/>
      <c r="U40" s="1"/>
      <c r="V40" s="1"/>
      <c r="W40" s="1"/>
      <c r="X40" s="1"/>
      <c r="Y40" s="1"/>
    </row>
    <row r="41" ht="34.5">
      <c r="A41" s="43"/>
      <c r="B41" s="44"/>
      <c r="C41" s="58" t="s">
        <v>95</v>
      </c>
      <c r="D41" s="68" t="s">
        <v>96</v>
      </c>
      <c r="E41" s="49">
        <v>0</v>
      </c>
      <c r="F41" s="49">
        <v>0</v>
      </c>
      <c r="G41" s="49">
        <v>0</v>
      </c>
      <c r="H41" s="49">
        <v>0</v>
      </c>
      <c r="I41" s="49">
        <v>12263.459999999999</v>
      </c>
      <c r="J41" s="49">
        <v>0</v>
      </c>
      <c r="K41" s="49">
        <f t="shared" si="8"/>
        <v>12263.459999999999</v>
      </c>
      <c r="L41" s="49">
        <f t="shared" si="9"/>
        <v>12263.459999999999</v>
      </c>
      <c r="M41" s="49">
        <f t="shared" si="10"/>
        <v>12263.459999999999</v>
      </c>
      <c r="N41" s="49">
        <f t="shared" si="11"/>
        <v>0</v>
      </c>
      <c r="O41" s="51" t="str">
        <f t="shared" si="12"/>
        <v/>
      </c>
      <c r="P41" s="51" t="str">
        <f t="shared" si="13"/>
        <v/>
      </c>
      <c r="Q41" s="51" t="str">
        <f t="shared" si="14"/>
        <v/>
      </c>
      <c r="R41" s="51" t="str">
        <f t="shared" si="15"/>
        <v/>
      </c>
      <c r="S41" s="1"/>
      <c r="T41" s="1"/>
      <c r="U41" s="1"/>
      <c r="V41" s="1"/>
      <c r="W41" s="1"/>
      <c r="X41" s="1"/>
      <c r="Y41" s="1"/>
    </row>
    <row r="42" ht="34.5">
      <c r="A42" s="43"/>
      <c r="B42" s="44"/>
      <c r="C42" s="58" t="s">
        <v>97</v>
      </c>
      <c r="D42" s="68" t="s">
        <v>98</v>
      </c>
      <c r="E42" s="49">
        <v>79301.360000000001</v>
      </c>
      <c r="F42" s="49">
        <v>96901.899999999994</v>
      </c>
      <c r="G42" s="49">
        <v>45500</v>
      </c>
      <c r="H42" s="49">
        <v>8700</v>
      </c>
      <c r="I42" s="49">
        <v>38962.75</v>
      </c>
      <c r="J42" s="49">
        <v>767.64999999999998</v>
      </c>
      <c r="K42" s="49">
        <f t="shared" si="8"/>
        <v>-40338.610000000001</v>
      </c>
      <c r="L42" s="49">
        <f t="shared" si="9"/>
        <v>-6537.25</v>
      </c>
      <c r="M42" s="49">
        <f t="shared" si="10"/>
        <v>-57939.149999999994</v>
      </c>
      <c r="N42" s="49">
        <f t="shared" si="11"/>
        <v>-7932.3500000000004</v>
      </c>
      <c r="O42" s="51">
        <f t="shared" si="12"/>
        <v>0.49132511724893496</v>
      </c>
      <c r="P42" s="51">
        <f t="shared" si="13"/>
        <v>0.08823563218390805</v>
      </c>
      <c r="Q42" s="51">
        <f t="shared" si="14"/>
        <v>0.85632417582417586</v>
      </c>
      <c r="R42" s="51">
        <f t="shared" si="15"/>
        <v>0.40208447925169682</v>
      </c>
      <c r="S42" s="1"/>
      <c r="T42" s="1"/>
      <c r="U42" s="1"/>
      <c r="V42" s="1"/>
      <c r="W42" s="1"/>
      <c r="X42" s="1"/>
      <c r="Y42" s="1"/>
    </row>
    <row r="43" ht="44.25" customHeight="1">
      <c r="A43" s="43"/>
      <c r="B43" s="44"/>
      <c r="C43" s="58" t="s">
        <v>99</v>
      </c>
      <c r="D43" s="68" t="s">
        <v>100</v>
      </c>
      <c r="E43" s="49">
        <v>127.01000000000001</v>
      </c>
      <c r="F43" s="49">
        <v>0</v>
      </c>
      <c r="G43" s="49">
        <v>0</v>
      </c>
      <c r="H43" s="49">
        <v>0</v>
      </c>
      <c r="I43" s="49">
        <v>3764.7399999999998</v>
      </c>
      <c r="J43" s="49">
        <v>0</v>
      </c>
      <c r="K43" s="49">
        <f t="shared" si="8"/>
        <v>3637.7299999999996</v>
      </c>
      <c r="L43" s="49">
        <f t="shared" si="9"/>
        <v>3764.7399999999998</v>
      </c>
      <c r="M43" s="49">
        <f t="shared" si="10"/>
        <v>3764.7399999999998</v>
      </c>
      <c r="N43" s="49">
        <f t="shared" si="11"/>
        <v>0</v>
      </c>
      <c r="O43" s="51">
        <f t="shared" si="12"/>
        <v>29.641288087552159</v>
      </c>
      <c r="P43" s="51" t="str">
        <f t="shared" si="13"/>
        <v/>
      </c>
      <c r="Q43" s="51" t="str">
        <f t="shared" si="14"/>
        <v/>
      </c>
      <c r="R43" s="51"/>
      <c r="S43" s="1"/>
      <c r="T43" s="1"/>
      <c r="U43" s="1"/>
      <c r="V43" s="1"/>
      <c r="W43" s="1"/>
      <c r="X43" s="1"/>
      <c r="Y43" s="1"/>
    </row>
    <row r="44" ht="17.25">
      <c r="A44" s="43"/>
      <c r="B44" s="44"/>
      <c r="C44" s="45" t="s">
        <v>55</v>
      </c>
      <c r="D44" s="59" t="s">
        <v>56</v>
      </c>
      <c r="E44" s="49">
        <v>7582.4300000000003</v>
      </c>
      <c r="F44" s="49">
        <v>12977.999999999998</v>
      </c>
      <c r="G44" s="49">
        <v>6604</v>
      </c>
      <c r="H44" s="49">
        <v>0</v>
      </c>
      <c r="I44" s="49">
        <v>4658.96</v>
      </c>
      <c r="J44" s="49">
        <v>387.10000000000002</v>
      </c>
      <c r="K44" s="49">
        <f t="shared" si="8"/>
        <v>-2923.4700000000003</v>
      </c>
      <c r="L44" s="49">
        <f t="shared" si="9"/>
        <v>-1945.04</v>
      </c>
      <c r="M44" s="49">
        <f t="shared" si="10"/>
        <v>-8319.0399999999972</v>
      </c>
      <c r="N44" s="49">
        <f t="shared" si="11"/>
        <v>387.10000000000002</v>
      </c>
      <c r="O44" s="51">
        <f t="shared" si="12"/>
        <v>0.61444154446529675</v>
      </c>
      <c r="P44" s="51" t="str">
        <f t="shared" si="13"/>
        <v/>
      </c>
      <c r="Q44" s="51">
        <f t="shared" si="14"/>
        <v>0.7054754694124773</v>
      </c>
      <c r="R44" s="51">
        <f t="shared" si="15"/>
        <v>0.35898905840653417</v>
      </c>
      <c r="S44" s="1"/>
      <c r="T44" s="1"/>
      <c r="U44" s="1"/>
      <c r="V44" s="1"/>
      <c r="W44" s="1"/>
      <c r="X44" s="1"/>
      <c r="Y44" s="1"/>
    </row>
    <row r="45" ht="34.5">
      <c r="A45" s="43"/>
      <c r="B45" s="44"/>
      <c r="C45" s="45" t="s">
        <v>101</v>
      </c>
      <c r="D45" s="59" t="s">
        <v>102</v>
      </c>
      <c r="E45" s="49">
        <v>34731.580000000002</v>
      </c>
      <c r="F45" s="49">
        <v>68465.100000000006</v>
      </c>
      <c r="G45" s="49">
        <v>37916.5</v>
      </c>
      <c r="H45" s="49">
        <v>7411</v>
      </c>
      <c r="I45" s="49">
        <v>37003.040000000001</v>
      </c>
      <c r="J45" s="49">
        <v>156.00999999999999</v>
      </c>
      <c r="K45" s="49">
        <f t="shared" si="8"/>
        <v>2271.4599999999991</v>
      </c>
      <c r="L45" s="49">
        <f t="shared" si="9"/>
        <v>-913.45999999999913</v>
      </c>
      <c r="M45" s="49">
        <f t="shared" si="10"/>
        <v>-31462.060000000005</v>
      </c>
      <c r="N45" s="49">
        <f t="shared" si="11"/>
        <v>-7254.9899999999998</v>
      </c>
      <c r="O45" s="51">
        <f t="shared" si="12"/>
        <v>1.0654004223245819</v>
      </c>
      <c r="P45" s="51">
        <f t="shared" si="13"/>
        <v>0.02105114019700445</v>
      </c>
      <c r="Q45" s="51">
        <f t="shared" si="14"/>
        <v>0.97590864135666533</v>
      </c>
      <c r="R45" s="51">
        <f t="shared" si="15"/>
        <v>0.5404657263335626</v>
      </c>
      <c r="S45" s="1"/>
      <c r="T45" s="1"/>
      <c r="U45" s="1"/>
      <c r="V45" s="1"/>
      <c r="W45" s="1"/>
      <c r="X45" s="1"/>
      <c r="Y45" s="1"/>
    </row>
    <row r="46" s="80" customFormat="1" ht="14.25">
      <c r="A46" s="61"/>
      <c r="B46" s="79"/>
      <c r="C46" s="81"/>
      <c r="D46" s="63" t="s">
        <v>57</v>
      </c>
      <c r="E46" s="82">
        <f>SUM(E34:E45)</f>
        <v>835199.58999999997</v>
      </c>
      <c r="F46" s="82">
        <f>SUM(F34:F45)</f>
        <v>947303.40000000014</v>
      </c>
      <c r="G46" s="82">
        <f>SUM(G34:G45)</f>
        <v>489247.59999999998</v>
      </c>
      <c r="H46" s="82">
        <f>SUM(H34:H45)</f>
        <v>84302.800000000003</v>
      </c>
      <c r="I46" s="82">
        <f>SUM(I34:I45)</f>
        <v>482475.57000000001</v>
      </c>
      <c r="J46" s="82">
        <f>SUM(J34:J45)</f>
        <v>3256.9200000000001</v>
      </c>
      <c r="K46" s="82">
        <f>SUM(K34:K45)</f>
        <v>-352724.01999999996</v>
      </c>
      <c r="L46" s="82">
        <f t="shared" si="9"/>
        <v>-6772.0299999999697</v>
      </c>
      <c r="M46" s="82">
        <f>SUM(M34:M45)</f>
        <v>-464827.82999999996</v>
      </c>
      <c r="N46" s="82">
        <f>SUM(N34:N45)</f>
        <v>-81045.880000000005</v>
      </c>
      <c r="O46" s="65">
        <f t="shared" si="12"/>
        <v>0.57767697180023758</v>
      </c>
      <c r="P46" s="65">
        <f t="shared" si="13"/>
        <v>0.038633592241301591</v>
      </c>
      <c r="Q46" s="65">
        <f t="shared" si="14"/>
        <v>0.98615827650457566</v>
      </c>
      <c r="R46" s="65">
        <f t="shared" si="15"/>
        <v>0.50931472430057778</v>
      </c>
      <c r="S46" s="80"/>
      <c r="T46" s="80"/>
      <c r="U46" s="80"/>
      <c r="V46" s="80"/>
      <c r="W46" s="80"/>
      <c r="X46" s="80"/>
      <c r="Y46" s="80"/>
    </row>
    <row r="47" ht="17.25">
      <c r="A47" s="43" t="s">
        <v>103</v>
      </c>
      <c r="B47" s="44" t="s">
        <v>104</v>
      </c>
      <c r="C47" s="45" t="s">
        <v>105</v>
      </c>
      <c r="D47" s="59" t="s">
        <v>106</v>
      </c>
      <c r="E47" s="48">
        <v>309126.65000000002</v>
      </c>
      <c r="F47" s="48">
        <v>653882.09999999998</v>
      </c>
      <c r="G47" s="48">
        <v>366079.70000000001</v>
      </c>
      <c r="H47" s="48">
        <v>33957.099999999999</v>
      </c>
      <c r="I47" s="83">
        <v>326217.19</v>
      </c>
      <c r="J47" s="84">
        <v>57.159999999999997</v>
      </c>
      <c r="K47" s="49">
        <f t="shared" ref="K47:K78" si="16">I47-E47</f>
        <v>17090.539999999979</v>
      </c>
      <c r="L47" s="49">
        <f t="shared" si="9"/>
        <v>-39862.510000000009</v>
      </c>
      <c r="M47" s="49">
        <f t="shared" ref="M47:M78" si="17">I47-F47</f>
        <v>-327664.90999999997</v>
      </c>
      <c r="N47" s="49">
        <f t="shared" ref="N47:N78" si="18">J47-H47</f>
        <v>-33899.939999999995</v>
      </c>
      <c r="O47" s="51">
        <f t="shared" si="12"/>
        <v>1.0552865306177903</v>
      </c>
      <c r="P47" s="51">
        <f t="shared" si="13"/>
        <v>0.0016833003996218757</v>
      </c>
      <c r="Q47" s="51">
        <f t="shared" si="14"/>
        <v>0.89110975014457228</v>
      </c>
      <c r="R47" s="51">
        <f t="shared" si="15"/>
        <v>0.49889298086000522</v>
      </c>
      <c r="S47" s="1"/>
      <c r="T47" s="1"/>
      <c r="U47" s="1"/>
      <c r="V47" s="1"/>
      <c r="W47" s="1"/>
      <c r="X47" s="1"/>
      <c r="Y47" s="1"/>
    </row>
    <row r="48" ht="17.25">
      <c r="A48" s="43"/>
      <c r="B48" s="44"/>
      <c r="C48" s="45" t="s">
        <v>107</v>
      </c>
      <c r="D48" s="59" t="s">
        <v>108</v>
      </c>
      <c r="E48" s="48">
        <v>206379.76000000001</v>
      </c>
      <c r="F48" s="48">
        <v>423200.79999999999</v>
      </c>
      <c r="G48" s="48">
        <v>250692.89999999999</v>
      </c>
      <c r="H48" s="48">
        <v>28516.599999999999</v>
      </c>
      <c r="I48" s="84">
        <v>244619.17999999999</v>
      </c>
      <c r="J48" s="83">
        <v>0</v>
      </c>
      <c r="K48" s="49">
        <f t="shared" si="16"/>
        <v>38239.419999999984</v>
      </c>
      <c r="L48" s="49">
        <f t="shared" si="9"/>
        <v>-6073.7200000000012</v>
      </c>
      <c r="M48" s="49">
        <f t="shared" si="17"/>
        <v>-178581.62</v>
      </c>
      <c r="N48" s="49">
        <f t="shared" si="18"/>
        <v>-28516.599999999999</v>
      </c>
      <c r="O48" s="51">
        <f t="shared" si="12"/>
        <v>1.1852866773369635</v>
      </c>
      <c r="P48" s="51">
        <f t="shared" si="13"/>
        <v>0</v>
      </c>
      <c r="Q48" s="51">
        <f t="shared" si="14"/>
        <v>0.97577226957763863</v>
      </c>
      <c r="R48" s="51">
        <f t="shared" si="15"/>
        <v>0.5780215443827138</v>
      </c>
      <c r="S48" s="1"/>
      <c r="T48" s="1"/>
      <c r="U48" s="1"/>
      <c r="V48" s="1"/>
      <c r="W48" s="1"/>
      <c r="X48" s="1"/>
      <c r="Y48" s="1"/>
    </row>
    <row r="49" ht="34.5">
      <c r="A49" s="43"/>
      <c r="B49" s="44"/>
      <c r="C49" s="45" t="s">
        <v>109</v>
      </c>
      <c r="D49" s="59" t="s">
        <v>110</v>
      </c>
      <c r="E49" s="48">
        <v>2012312.98</v>
      </c>
      <c r="F49" s="48">
        <v>4515290.5999999996</v>
      </c>
      <c r="G49" s="48">
        <v>2510979.2999999998</v>
      </c>
      <c r="H49" s="48">
        <v>413246.70000000001</v>
      </c>
      <c r="I49" s="84">
        <v>2080398.9000000001</v>
      </c>
      <c r="J49" s="83">
        <v>28980.190000000002</v>
      </c>
      <c r="K49" s="49">
        <f t="shared" si="16"/>
        <v>68085.920000000158</v>
      </c>
      <c r="L49" s="49">
        <f t="shared" si="9"/>
        <v>-430580.39999999967</v>
      </c>
      <c r="M49" s="49">
        <f t="shared" si="17"/>
        <v>-2434891.6999999993</v>
      </c>
      <c r="N49" s="50">
        <f t="shared" si="18"/>
        <v>-384266.51000000001</v>
      </c>
      <c r="O49" s="51">
        <f t="shared" si="12"/>
        <v>1.0338346572708585</v>
      </c>
      <c r="P49" s="51">
        <f t="shared" si="13"/>
        <v>0.070128061518700574</v>
      </c>
      <c r="Q49" s="51">
        <f t="shared" si="14"/>
        <v>0.82852092806977751</v>
      </c>
      <c r="R49" s="51">
        <f t="shared" si="15"/>
        <v>0.46074529510902362</v>
      </c>
      <c r="S49" s="1"/>
      <c r="T49" s="1"/>
      <c r="U49" s="1"/>
      <c r="V49" s="1"/>
      <c r="W49" s="1"/>
      <c r="X49" s="1"/>
      <c r="Y49" s="1"/>
    </row>
    <row r="50" ht="34.5">
      <c r="A50" s="43"/>
      <c r="B50" s="44"/>
      <c r="C50" s="45" t="s">
        <v>111</v>
      </c>
      <c r="D50" s="59" t="s">
        <v>112</v>
      </c>
      <c r="E50" s="48">
        <v>483.73000000000002</v>
      </c>
      <c r="F50" s="48">
        <v>4371.8000000000002</v>
      </c>
      <c r="G50" s="48">
        <v>2040</v>
      </c>
      <c r="H50" s="48">
        <v>467.5</v>
      </c>
      <c r="I50" s="83">
        <v>1550.0799999999999</v>
      </c>
      <c r="J50" s="83">
        <v>416.76999999999998</v>
      </c>
      <c r="K50" s="49">
        <f t="shared" si="16"/>
        <v>1066.3499999999999</v>
      </c>
      <c r="L50" s="49">
        <f t="shared" si="9"/>
        <v>-489.92000000000007</v>
      </c>
      <c r="M50" s="49">
        <f t="shared" si="17"/>
        <v>-2821.7200000000003</v>
      </c>
      <c r="N50" s="49">
        <f t="shared" si="18"/>
        <v>-50.730000000000018</v>
      </c>
      <c r="O50" s="51">
        <f t="shared" si="12"/>
        <v>3.2044322245880963</v>
      </c>
      <c r="P50" s="51">
        <f t="shared" si="13"/>
        <v>0.89148663101604275</v>
      </c>
      <c r="Q50" s="51">
        <f t="shared" si="14"/>
        <v>0.75984313725490193</v>
      </c>
      <c r="R50" s="51">
        <f t="shared" si="15"/>
        <v>0.35456333775561549</v>
      </c>
      <c r="S50" s="1"/>
      <c r="T50" s="1"/>
      <c r="U50" s="1"/>
      <c r="V50" s="1"/>
      <c r="W50" s="1"/>
      <c r="X50" s="1"/>
      <c r="Y50" s="1"/>
    </row>
    <row r="51" s="60" customFormat="1" ht="14.25">
      <c r="A51" s="61"/>
      <c r="B51" s="62"/>
      <c r="C51" s="61"/>
      <c r="D51" s="63" t="s">
        <v>57</v>
      </c>
      <c r="E51" s="64">
        <f>SUM(E47:E50)</f>
        <v>2528303.1200000001</v>
      </c>
      <c r="F51" s="64">
        <f>SUM(F47:F50)</f>
        <v>5596745.2999999998</v>
      </c>
      <c r="G51" s="64">
        <f>SUM(G47:G50)</f>
        <v>3129791.8999999999</v>
      </c>
      <c r="H51" s="64">
        <f>SUM(H47:H50)</f>
        <v>476187.90000000002</v>
      </c>
      <c r="I51" s="64">
        <f>SUM(I47:I50)</f>
        <v>2652785.3500000001</v>
      </c>
      <c r="J51" s="64">
        <f>SUM(J47:J50)</f>
        <v>29454.120000000003</v>
      </c>
      <c r="K51" s="64">
        <f t="shared" si="16"/>
        <v>124482.22999999998</v>
      </c>
      <c r="L51" s="64">
        <f t="shared" si="9"/>
        <v>-477006.54999999981</v>
      </c>
      <c r="M51" s="64">
        <f t="shared" si="17"/>
        <v>-2943959.9499999997</v>
      </c>
      <c r="N51" s="64">
        <f t="shared" si="18"/>
        <v>-446733.78000000003</v>
      </c>
      <c r="O51" s="65">
        <f t="shared" si="12"/>
        <v>1.0492354848654382</v>
      </c>
      <c r="P51" s="65">
        <f t="shared" si="13"/>
        <v>0.061853986630067671</v>
      </c>
      <c r="Q51" s="65">
        <f t="shared" si="14"/>
        <v>0.84759160824718094</v>
      </c>
      <c r="R51" s="65">
        <f t="shared" si="15"/>
        <v>0.47398714928120816</v>
      </c>
      <c r="S51" s="60"/>
      <c r="T51" s="60"/>
      <c r="U51" s="60"/>
      <c r="V51" s="60"/>
      <c r="W51" s="60"/>
      <c r="X51" s="60"/>
      <c r="Y51" s="60"/>
    </row>
    <row r="52" ht="17.25">
      <c r="A52" s="66">
        <v>991</v>
      </c>
      <c r="B52" s="44" t="s">
        <v>113</v>
      </c>
      <c r="C52" s="58" t="s">
        <v>68</v>
      </c>
      <c r="D52" s="68" t="s">
        <v>114</v>
      </c>
      <c r="E52" s="48">
        <v>32203.709999999999</v>
      </c>
      <c r="F52" s="48">
        <v>66470.800000000003</v>
      </c>
      <c r="G52" s="48">
        <v>37500</v>
      </c>
      <c r="H52" s="48">
        <v>5600</v>
      </c>
      <c r="I52" s="48">
        <v>34063.190000000002</v>
      </c>
      <c r="J52" s="48">
        <v>1006.3399999999999</v>
      </c>
      <c r="K52" s="49">
        <f t="shared" si="16"/>
        <v>1859.4800000000032</v>
      </c>
      <c r="L52" s="49">
        <f t="shared" si="9"/>
        <v>-3436.8099999999977</v>
      </c>
      <c r="M52" s="49">
        <f t="shared" si="17"/>
        <v>-32407.610000000001</v>
      </c>
      <c r="N52" s="49">
        <f t="shared" si="18"/>
        <v>-4593.6599999999999</v>
      </c>
      <c r="O52" s="51">
        <f t="shared" si="12"/>
        <v>1.0577411732995983</v>
      </c>
      <c r="P52" s="51">
        <f t="shared" si="13"/>
        <v>0.17970357142857141</v>
      </c>
      <c r="Q52" s="51">
        <f t="shared" si="14"/>
        <v>0.90835173333333341</v>
      </c>
      <c r="R52" s="51">
        <f t="shared" si="15"/>
        <v>0.51245343820143585</v>
      </c>
      <c r="S52" s="1"/>
      <c r="T52" s="1"/>
      <c r="U52" s="1"/>
      <c r="V52" s="1"/>
      <c r="W52" s="1"/>
      <c r="X52" s="1"/>
      <c r="Y52" s="1"/>
    </row>
    <row r="53" ht="17.25">
      <c r="A53" s="69"/>
      <c r="B53" s="44"/>
      <c r="C53" s="45" t="s">
        <v>115</v>
      </c>
      <c r="D53" s="59" t="s">
        <v>116</v>
      </c>
      <c r="E53" s="48">
        <v>6179.6099999999997</v>
      </c>
      <c r="F53" s="48">
        <v>0</v>
      </c>
      <c r="G53" s="48">
        <v>0</v>
      </c>
      <c r="H53" s="48">
        <v>0</v>
      </c>
      <c r="I53" s="48">
        <v>1813.8399999999999</v>
      </c>
      <c r="J53" s="48">
        <v>0</v>
      </c>
      <c r="K53" s="49">
        <f t="shared" si="16"/>
        <v>-4365.7699999999995</v>
      </c>
      <c r="L53" s="49">
        <f t="shared" si="9"/>
        <v>1813.8399999999999</v>
      </c>
      <c r="M53" s="49">
        <f t="shared" si="17"/>
        <v>1813.8399999999999</v>
      </c>
      <c r="N53" s="49">
        <f t="shared" si="18"/>
        <v>0</v>
      </c>
      <c r="O53" s="51">
        <f t="shared" si="12"/>
        <v>0.29352014123868658</v>
      </c>
      <c r="P53" s="51" t="str">
        <f t="shared" si="13"/>
        <v/>
      </c>
      <c r="Q53" s="51" t="str">
        <f t="shared" si="14"/>
        <v/>
      </c>
      <c r="R53" s="51" t="str">
        <f t="shared" si="15"/>
        <v/>
      </c>
      <c r="S53" s="1"/>
      <c r="T53" s="1"/>
      <c r="U53" s="1"/>
      <c r="V53" s="1"/>
      <c r="W53" s="1"/>
      <c r="X53" s="1"/>
      <c r="Y53" s="1"/>
    </row>
    <row r="54" s="60" customFormat="1" ht="14.25">
      <c r="A54" s="70"/>
      <c r="B54" s="62"/>
      <c r="C54" s="61"/>
      <c r="D54" s="63" t="s">
        <v>57</v>
      </c>
      <c r="E54" s="64">
        <f>SUM(E52:E53)</f>
        <v>38383.32</v>
      </c>
      <c r="F54" s="64">
        <f>SUM(F52:F53)</f>
        <v>66470.800000000003</v>
      </c>
      <c r="G54" s="64">
        <f>SUM(G52:G53)</f>
        <v>37500</v>
      </c>
      <c r="H54" s="64">
        <f>SUM(H52:H53)</f>
        <v>5600</v>
      </c>
      <c r="I54" s="64">
        <f>SUM(I52:I53)</f>
        <v>35877.029999999999</v>
      </c>
      <c r="J54" s="64">
        <f>SUM(J52:J53)</f>
        <v>1006.3399999999999</v>
      </c>
      <c r="K54" s="64">
        <f t="shared" si="16"/>
        <v>-2506.2900000000009</v>
      </c>
      <c r="L54" s="64">
        <f t="shared" si="9"/>
        <v>-1622.9700000000012</v>
      </c>
      <c r="M54" s="64">
        <f t="shared" si="17"/>
        <v>-30593.770000000004</v>
      </c>
      <c r="N54" s="64">
        <f t="shared" si="18"/>
        <v>-4593.6599999999999</v>
      </c>
      <c r="O54" s="65">
        <f t="shared" si="12"/>
        <v>0.93470366815585515</v>
      </c>
      <c r="P54" s="65">
        <f t="shared" si="13"/>
        <v>0.17970357142857141</v>
      </c>
      <c r="Q54" s="65">
        <f t="shared" si="14"/>
        <v>0.95672079999999993</v>
      </c>
      <c r="R54" s="65">
        <f t="shared" si="15"/>
        <v>0.53974120967402228</v>
      </c>
      <c r="S54" s="60"/>
      <c r="T54" s="60"/>
      <c r="U54" s="60"/>
      <c r="V54" s="60"/>
      <c r="W54" s="60"/>
      <c r="X54" s="60"/>
      <c r="Y54" s="60"/>
    </row>
    <row r="55" ht="17.25">
      <c r="A55" s="43" t="s">
        <v>117</v>
      </c>
      <c r="B55" s="44" t="s">
        <v>118</v>
      </c>
      <c r="C55" s="45" t="s">
        <v>119</v>
      </c>
      <c r="D55" s="59" t="s">
        <v>120</v>
      </c>
      <c r="E55" s="48">
        <v>22474.450000000001</v>
      </c>
      <c r="F55" s="48">
        <f>24461.7+26624.3</f>
        <v>51086</v>
      </c>
      <c r="G55" s="48">
        <f>17744.4+21500</f>
        <v>39244.400000000001</v>
      </c>
      <c r="H55" s="48">
        <f>5501.1+21500</f>
        <v>27001.099999999999</v>
      </c>
      <c r="I55" s="48">
        <v>39399.389999999999</v>
      </c>
      <c r="J55" s="48">
        <v>64.390000000000001</v>
      </c>
      <c r="K55" s="49">
        <f t="shared" si="16"/>
        <v>16924.939999999999</v>
      </c>
      <c r="L55" s="49">
        <f t="shared" si="9"/>
        <v>154.98999999999796</v>
      </c>
      <c r="M55" s="49">
        <f t="shared" si="17"/>
        <v>-11686.610000000001</v>
      </c>
      <c r="N55" s="49">
        <f t="shared" si="18"/>
        <v>-26936.709999999999</v>
      </c>
      <c r="O55" s="85">
        <f t="shared" si="12"/>
        <v>1.7530747137304805</v>
      </c>
      <c r="P55" s="85">
        <f t="shared" si="13"/>
        <v>0.0023847176596509031</v>
      </c>
      <c r="Q55" s="85">
        <f t="shared" si="14"/>
        <v>1.0039493532835257</v>
      </c>
      <c r="R55" s="51">
        <f t="shared" si="15"/>
        <v>0.77123654230121752</v>
      </c>
      <c r="S55" s="1"/>
      <c r="T55" s="1"/>
      <c r="U55" s="1"/>
      <c r="V55" s="1"/>
      <c r="W55" s="1"/>
      <c r="X55" s="1"/>
      <c r="Y55" s="1"/>
    </row>
    <row r="56" ht="17.25">
      <c r="A56" s="43"/>
      <c r="B56" s="44"/>
      <c r="C56" s="45" t="s">
        <v>121</v>
      </c>
      <c r="D56" s="59" t="s">
        <v>122</v>
      </c>
      <c r="E56" s="48">
        <v>27511.689999999999</v>
      </c>
      <c r="F56" s="48">
        <v>50550.300000000003</v>
      </c>
      <c r="G56" s="48">
        <v>11300</v>
      </c>
      <c r="H56" s="48">
        <v>4200</v>
      </c>
      <c r="I56" s="48">
        <v>54327.169999999998</v>
      </c>
      <c r="J56" s="48">
        <v>30000</v>
      </c>
      <c r="K56" s="49">
        <f t="shared" si="16"/>
        <v>26815.48</v>
      </c>
      <c r="L56" s="49">
        <f t="shared" si="9"/>
        <v>43027.169999999998</v>
      </c>
      <c r="M56" s="49">
        <f t="shared" si="17"/>
        <v>3776.8699999999953</v>
      </c>
      <c r="N56" s="49">
        <f t="shared" si="18"/>
        <v>25800</v>
      </c>
      <c r="O56" s="85">
        <f t="shared" si="12"/>
        <v>1.9746940300650377</v>
      </c>
      <c r="P56" s="85">
        <f t="shared" si="13"/>
        <v>7.1428571428571432</v>
      </c>
      <c r="Q56" s="85">
        <f t="shared" si="14"/>
        <v>4.8077141592920354</v>
      </c>
      <c r="R56" s="51">
        <f t="shared" si="15"/>
        <v>1.0747150857660586</v>
      </c>
      <c r="S56" s="1"/>
      <c r="T56" s="1"/>
      <c r="U56" s="1"/>
      <c r="V56" s="1"/>
      <c r="W56" s="1"/>
      <c r="X56" s="1"/>
      <c r="Y56" s="1"/>
    </row>
    <row r="57" s="60" customFormat="1" ht="14.25">
      <c r="A57" s="61"/>
      <c r="B57" s="62"/>
      <c r="C57" s="61"/>
      <c r="D57" s="63" t="s">
        <v>57</v>
      </c>
      <c r="E57" s="86">
        <f>SUBTOTAL(9,E55:E56)</f>
        <v>49986.139999999999</v>
      </c>
      <c r="F57" s="64">
        <f>SUBTOTAL(9,F55:F56)</f>
        <v>101636.3</v>
      </c>
      <c r="G57" s="64">
        <f>SUBTOTAL(9,G55:G56)</f>
        <v>50544.400000000001</v>
      </c>
      <c r="H57" s="64">
        <f>SUBTOTAL(9,H55:H56)</f>
        <v>31201.099999999999</v>
      </c>
      <c r="I57" s="64">
        <f>SUBTOTAL(9,I55:I56)</f>
        <v>93726.559999999998</v>
      </c>
      <c r="J57" s="64">
        <f>SUBTOTAL(9,J55:J56)</f>
        <v>30064.389999999999</v>
      </c>
      <c r="K57" s="64">
        <f t="shared" si="16"/>
        <v>43740.419999999998</v>
      </c>
      <c r="L57" s="64">
        <f t="shared" si="9"/>
        <v>43182.159999999996</v>
      </c>
      <c r="M57" s="64">
        <f t="shared" si="17"/>
        <v>-7909.7400000000052</v>
      </c>
      <c r="N57" s="64">
        <f t="shared" si="18"/>
        <v>-1136.7099999999991</v>
      </c>
      <c r="O57" s="65">
        <f t="shared" si="12"/>
        <v>1.8750509641272561</v>
      </c>
      <c r="P57" s="65">
        <f t="shared" si="13"/>
        <v>0.96356827163144887</v>
      </c>
      <c r="Q57" s="65">
        <f t="shared" si="14"/>
        <v>1.8543411337358835</v>
      </c>
      <c r="R57" s="65">
        <f t="shared" si="15"/>
        <v>0.92217603356281164</v>
      </c>
      <c r="S57" s="60"/>
      <c r="T57" s="60"/>
      <c r="U57" s="60"/>
      <c r="V57" s="60"/>
      <c r="W57" s="60"/>
      <c r="X57" s="60"/>
      <c r="Y57" s="60"/>
    </row>
    <row r="58" ht="17.25">
      <c r="A58" s="69"/>
      <c r="B58" s="44" t="s">
        <v>123</v>
      </c>
      <c r="C58" s="45" t="s">
        <v>124</v>
      </c>
      <c r="D58" s="87" t="s">
        <v>125</v>
      </c>
      <c r="E58" s="48">
        <v>203.05000000000001</v>
      </c>
      <c r="F58" s="48">
        <v>30.699999999999999</v>
      </c>
      <c r="G58" s="49">
        <v>30.699999999999999</v>
      </c>
      <c r="H58" s="49">
        <v>0</v>
      </c>
      <c r="I58" s="88">
        <v>2216.3099999999999</v>
      </c>
      <c r="J58" s="88">
        <v>0</v>
      </c>
      <c r="K58" s="49">
        <f t="shared" si="16"/>
        <v>2013.26</v>
      </c>
      <c r="L58" s="49">
        <f t="shared" si="9"/>
        <v>2185.6100000000001</v>
      </c>
      <c r="M58" s="49">
        <f t="shared" si="17"/>
        <v>2185.6100000000001</v>
      </c>
      <c r="N58" s="49">
        <f t="shared" si="18"/>
        <v>0</v>
      </c>
      <c r="O58" s="51">
        <f t="shared" si="12"/>
        <v>10.915094804235409</v>
      </c>
      <c r="P58" s="51" t="str">
        <f t="shared" si="13"/>
        <v/>
      </c>
      <c r="Q58" s="51">
        <f t="shared" si="14"/>
        <v>72.19250814332247</v>
      </c>
      <c r="R58" s="51">
        <f t="shared" si="15"/>
        <v>72.19250814332247</v>
      </c>
      <c r="S58" s="1"/>
      <c r="T58" s="1"/>
      <c r="U58" s="1"/>
      <c r="V58" s="1"/>
      <c r="W58" s="1"/>
      <c r="X58" s="1"/>
      <c r="Y58" s="1"/>
    </row>
    <row r="59" ht="17.25">
      <c r="A59" s="69"/>
      <c r="B59" s="44"/>
      <c r="C59" s="45" t="s">
        <v>89</v>
      </c>
      <c r="D59" s="59" t="s">
        <v>126</v>
      </c>
      <c r="E59" s="89">
        <v>639.22000000000003</v>
      </c>
      <c r="F59" s="50">
        <v>26</v>
      </c>
      <c r="G59" s="50">
        <v>26</v>
      </c>
      <c r="H59" s="50">
        <v>0</v>
      </c>
      <c r="I59" s="88">
        <v>1634.8299999999999</v>
      </c>
      <c r="J59" s="88">
        <v>94.989999999999995</v>
      </c>
      <c r="K59" s="49">
        <f t="shared" si="16"/>
        <v>995.6099999999999</v>
      </c>
      <c r="L59" s="49">
        <f t="shared" si="9"/>
        <v>1608.8299999999999</v>
      </c>
      <c r="M59" s="49">
        <f t="shared" si="17"/>
        <v>1608.8299999999999</v>
      </c>
      <c r="N59" s="49">
        <f t="shared" si="18"/>
        <v>94.989999999999995</v>
      </c>
      <c r="O59" s="51">
        <f t="shared" si="12"/>
        <v>2.557538875504521</v>
      </c>
      <c r="P59" s="51" t="str">
        <f t="shared" si="13"/>
        <v/>
      </c>
      <c r="Q59" s="51">
        <f t="shared" si="14"/>
        <v>62.878076923076918</v>
      </c>
      <c r="R59" s="90">
        <f t="shared" si="15"/>
        <v>62.878076923076918</v>
      </c>
      <c r="S59" s="1"/>
      <c r="T59" s="1"/>
      <c r="U59" s="1"/>
      <c r="V59" s="1"/>
      <c r="W59" s="1"/>
      <c r="X59" s="1"/>
      <c r="Y59" s="1"/>
    </row>
    <row r="60" ht="17.25">
      <c r="A60" s="69"/>
      <c r="B60" s="44"/>
      <c r="C60" s="45" t="s">
        <v>53</v>
      </c>
      <c r="D60" s="59" t="s">
        <v>54</v>
      </c>
      <c r="E60" s="48">
        <v>352.19999999999999</v>
      </c>
      <c r="F60" s="48">
        <v>371</v>
      </c>
      <c r="G60" s="48">
        <v>371</v>
      </c>
      <c r="H60" s="48">
        <v>0</v>
      </c>
      <c r="I60" s="47">
        <v>0</v>
      </c>
      <c r="J60" s="47">
        <v>0</v>
      </c>
      <c r="K60" s="49">
        <f t="shared" si="16"/>
        <v>-352.19999999999999</v>
      </c>
      <c r="L60" s="49">
        <f t="shared" si="9"/>
        <v>-371</v>
      </c>
      <c r="M60" s="49">
        <f t="shared" si="17"/>
        <v>-371</v>
      </c>
      <c r="N60" s="49">
        <f t="shared" si="18"/>
        <v>0</v>
      </c>
      <c r="O60" s="51">
        <f t="shared" si="12"/>
        <v>0</v>
      </c>
      <c r="P60" s="51" t="str">
        <f t="shared" si="13"/>
        <v/>
      </c>
      <c r="Q60" s="51">
        <f t="shared" si="14"/>
        <v>0</v>
      </c>
      <c r="R60" s="51">
        <f t="shared" si="15"/>
        <v>0</v>
      </c>
      <c r="S60" s="1"/>
      <c r="T60" s="1"/>
      <c r="U60" s="1"/>
      <c r="V60" s="1"/>
      <c r="W60" s="1"/>
      <c r="X60" s="1"/>
      <c r="Y60" s="1"/>
    </row>
    <row r="61" ht="34.5">
      <c r="A61" s="69"/>
      <c r="B61" s="44"/>
      <c r="C61" s="45" t="s">
        <v>127</v>
      </c>
      <c r="D61" s="59" t="s">
        <v>128</v>
      </c>
      <c r="E61" s="49">
        <v>53608.139999999999</v>
      </c>
      <c r="F61" s="49">
        <f>8722.7+46498.4</f>
        <v>55221.100000000006</v>
      </c>
      <c r="G61" s="49">
        <f>2361.2+32411.6+4355</f>
        <v>39127.799999999996</v>
      </c>
      <c r="H61" s="49">
        <f>1171.7+32411.6+4355</f>
        <v>37938.299999999996</v>
      </c>
      <c r="I61" s="88">
        <v>50141.489999999998</v>
      </c>
      <c r="J61" s="88">
        <v>180.30000000000001</v>
      </c>
      <c r="K61" s="49">
        <f t="shared" si="16"/>
        <v>-3466.6500000000015</v>
      </c>
      <c r="L61" s="49">
        <f t="shared" si="9"/>
        <v>11013.690000000002</v>
      </c>
      <c r="M61" s="49">
        <f t="shared" si="17"/>
        <v>-5079.6100000000079</v>
      </c>
      <c r="N61" s="49">
        <f t="shared" si="18"/>
        <v>-37757.999999999993</v>
      </c>
      <c r="O61" s="51">
        <f t="shared" si="12"/>
        <v>0.93533351464908121</v>
      </c>
      <c r="P61" s="51">
        <f t="shared" si="13"/>
        <v>0.0047524533255311925</v>
      </c>
      <c r="Q61" s="51">
        <f t="shared" si="14"/>
        <v>1.281479919647923</v>
      </c>
      <c r="R61" s="51">
        <f t="shared" si="15"/>
        <v>0.90801324131536665</v>
      </c>
      <c r="S61" s="1"/>
      <c r="T61" s="1"/>
      <c r="U61" s="1"/>
      <c r="V61" s="1"/>
      <c r="W61" s="1"/>
      <c r="X61" s="1"/>
      <c r="Y61" s="1"/>
    </row>
    <row r="62" ht="17.25">
      <c r="A62" s="69"/>
      <c r="B62" s="44"/>
      <c r="C62" s="45" t="s">
        <v>55</v>
      </c>
      <c r="D62" s="59" t="s">
        <v>56</v>
      </c>
      <c r="E62" s="49">
        <v>69052.770000000004</v>
      </c>
      <c r="F62" s="49">
        <f>103985.4+109296.2</f>
        <v>213281.59999999998</v>
      </c>
      <c r="G62" s="49">
        <f>55483+18215.1</f>
        <v>73698.100000000006</v>
      </c>
      <c r="H62" s="49">
        <f>9966.2+18215.1</f>
        <v>28181.299999999999</v>
      </c>
      <c r="I62" s="88">
        <v>96601.5</v>
      </c>
      <c r="J62" s="88">
        <v>1760.3200000000002</v>
      </c>
      <c r="K62" s="49">
        <f t="shared" si="16"/>
        <v>27548.729999999996</v>
      </c>
      <c r="L62" s="49">
        <f t="shared" si="9"/>
        <v>22903.399999999994</v>
      </c>
      <c r="M62" s="49">
        <f t="shared" si="17"/>
        <v>-116680.09999999998</v>
      </c>
      <c r="N62" s="49">
        <f t="shared" si="18"/>
        <v>-26420.98</v>
      </c>
      <c r="O62" s="51">
        <f t="shared" si="12"/>
        <v>1.398951845088908</v>
      </c>
      <c r="P62" s="51">
        <f t="shared" si="13"/>
        <v>0.06246411627568637</v>
      </c>
      <c r="Q62" s="51">
        <f t="shared" si="14"/>
        <v>1.3107732763802593</v>
      </c>
      <c r="R62" s="51">
        <f t="shared" si="15"/>
        <v>0.45292936662140576</v>
      </c>
      <c r="S62" s="1"/>
      <c r="T62" s="1"/>
      <c r="U62" s="1"/>
      <c r="V62" s="1"/>
      <c r="W62" s="1"/>
      <c r="X62" s="1"/>
      <c r="Y62" s="1"/>
    </row>
    <row r="63" ht="17.25">
      <c r="A63" s="69"/>
      <c r="B63" s="44"/>
      <c r="C63" s="45" t="s">
        <v>129</v>
      </c>
      <c r="D63" s="59" t="s">
        <v>130</v>
      </c>
      <c r="E63" s="49">
        <v>-308.82999999999998</v>
      </c>
      <c r="F63" s="49">
        <v>0</v>
      </c>
      <c r="G63" s="49">
        <v>0</v>
      </c>
      <c r="H63" s="49">
        <v>0</v>
      </c>
      <c r="I63" s="88">
        <v>272.88999999999999</v>
      </c>
      <c r="J63" s="88">
        <v>129.81999999999999</v>
      </c>
      <c r="K63" s="49">
        <f t="shared" si="16"/>
        <v>581.72000000000003</v>
      </c>
      <c r="L63" s="49">
        <f t="shared" si="9"/>
        <v>272.88999999999999</v>
      </c>
      <c r="M63" s="49">
        <f t="shared" si="17"/>
        <v>272.88999999999999</v>
      </c>
      <c r="N63" s="49">
        <f t="shared" si="18"/>
        <v>129.81999999999999</v>
      </c>
      <c r="O63" s="51">
        <f t="shared" si="12"/>
        <v>-0.88362529546999968</v>
      </c>
      <c r="P63" s="51" t="str">
        <f t="shared" si="13"/>
        <v/>
      </c>
      <c r="Q63" s="51" t="str">
        <f t="shared" si="14"/>
        <v/>
      </c>
      <c r="R63" s="51" t="str">
        <f t="shared" si="15"/>
        <v/>
      </c>
      <c r="S63" s="1"/>
      <c r="T63" s="1"/>
      <c r="U63" s="1"/>
      <c r="V63" s="1"/>
      <c r="W63" s="1"/>
      <c r="X63" s="1"/>
      <c r="Y63" s="1"/>
    </row>
    <row r="64" ht="17.25">
      <c r="A64" s="69"/>
      <c r="B64" s="44"/>
      <c r="C64" s="45" t="s">
        <v>131</v>
      </c>
      <c r="D64" s="59" t="s">
        <v>132</v>
      </c>
      <c r="E64" s="49">
        <v>671.76999999999998</v>
      </c>
      <c r="F64" s="49">
        <v>38614.970000000001</v>
      </c>
      <c r="G64" s="49">
        <v>38614.970000000001</v>
      </c>
      <c r="H64" s="49">
        <v>38614.970000000001</v>
      </c>
      <c r="I64" s="88">
        <v>39505.739999999998</v>
      </c>
      <c r="J64" s="88">
        <v>1306.0799999999999</v>
      </c>
      <c r="K64" s="49">
        <f t="shared" si="16"/>
        <v>38833.970000000001</v>
      </c>
      <c r="L64" s="49">
        <f t="shared" si="9"/>
        <v>890.7699999999968</v>
      </c>
      <c r="M64" s="49">
        <f t="shared" si="17"/>
        <v>890.7699999999968</v>
      </c>
      <c r="N64" s="49">
        <f t="shared" si="18"/>
        <v>-37308.889999999999</v>
      </c>
      <c r="O64" s="51">
        <f t="shared" si="12"/>
        <v>58.808431457195169</v>
      </c>
      <c r="P64" s="51">
        <f t="shared" si="13"/>
        <v>0.033823152005556391</v>
      </c>
      <c r="Q64" s="51">
        <f t="shared" si="14"/>
        <v>1.0230679966862593</v>
      </c>
      <c r="R64" s="51">
        <f t="shared" si="15"/>
        <v>1.0230679966862593</v>
      </c>
      <c r="S64" s="1"/>
      <c r="T64" s="1"/>
      <c r="U64" s="1"/>
      <c r="V64" s="1"/>
      <c r="W64" s="1"/>
      <c r="X64" s="1"/>
      <c r="Y64" s="1"/>
    </row>
    <row r="65" ht="22.5">
      <c r="A65" s="69"/>
      <c r="B65" s="44"/>
      <c r="C65" s="45" t="s">
        <v>133</v>
      </c>
      <c r="D65" s="59" t="s">
        <v>134</v>
      </c>
      <c r="E65" s="49">
        <v>619.54999999999995</v>
      </c>
      <c r="F65" s="49">
        <v>0</v>
      </c>
      <c r="G65" s="49">
        <v>0</v>
      </c>
      <c r="H65" s="49">
        <v>0</v>
      </c>
      <c r="I65" s="88">
        <v>5852.1199999999999</v>
      </c>
      <c r="J65" s="88">
        <v>0</v>
      </c>
      <c r="K65" s="49">
        <f t="shared" si="16"/>
        <v>5232.5699999999997</v>
      </c>
      <c r="L65" s="49">
        <f t="shared" si="9"/>
        <v>5852.1199999999999</v>
      </c>
      <c r="M65" s="49">
        <f t="shared" si="17"/>
        <v>5852.1199999999999</v>
      </c>
      <c r="N65" s="49">
        <f t="shared" si="18"/>
        <v>0</v>
      </c>
      <c r="O65" s="51">
        <f t="shared" si="12"/>
        <v>9.4457590186425637</v>
      </c>
      <c r="P65" s="51" t="str">
        <f t="shared" si="13"/>
        <v/>
      </c>
      <c r="Q65" s="51" t="str">
        <f t="shared" si="14"/>
        <v/>
      </c>
      <c r="R65" s="51" t="str">
        <f t="shared" si="15"/>
        <v/>
      </c>
      <c r="S65" s="1"/>
      <c r="T65" s="1"/>
      <c r="U65" s="1"/>
      <c r="V65" s="1"/>
      <c r="W65" s="1"/>
      <c r="X65" s="1"/>
      <c r="Y65" s="1"/>
    </row>
    <row r="66" s="60" customFormat="1" ht="15">
      <c r="A66" s="70"/>
      <c r="B66" s="62"/>
      <c r="C66" s="61"/>
      <c r="D66" s="63" t="s">
        <v>57</v>
      </c>
      <c r="E66" s="64">
        <f>SUM(E58:E65)</f>
        <v>124837.87000000001</v>
      </c>
      <c r="F66" s="64">
        <f>SUM(F58:F65)</f>
        <v>307545.37</v>
      </c>
      <c r="G66" s="64">
        <f>SUM(G58:G65)</f>
        <v>151868.57000000001</v>
      </c>
      <c r="H66" s="64">
        <f>SUM(H58:H65)</f>
        <v>104734.56999999999</v>
      </c>
      <c r="I66" s="64">
        <f>SUM(I58:I65)</f>
        <v>196224.88</v>
      </c>
      <c r="J66" s="64">
        <f>SUM(J58:J65)</f>
        <v>3471.5100000000002</v>
      </c>
      <c r="K66" s="64">
        <f t="shared" si="16"/>
        <v>71387.009999999995</v>
      </c>
      <c r="L66" s="64">
        <f t="shared" si="9"/>
        <v>44356.309999999998</v>
      </c>
      <c r="M66" s="64">
        <f t="shared" si="17"/>
        <v>-111320.48999999999</v>
      </c>
      <c r="N66" s="64">
        <f t="shared" si="18"/>
        <v>-101263.06</v>
      </c>
      <c r="O66" s="65">
        <f t="shared" si="12"/>
        <v>1.5718377764695921</v>
      </c>
      <c r="P66" s="65">
        <f t="shared" si="13"/>
        <v>0.033145789398858469</v>
      </c>
      <c r="Q66" s="65">
        <f t="shared" si="14"/>
        <v>1.2920703737448769</v>
      </c>
      <c r="R66" s="65">
        <f t="shared" si="15"/>
        <v>0.63803555228290387</v>
      </c>
      <c r="S66" s="60"/>
      <c r="T66" s="60"/>
      <c r="U66" s="60"/>
      <c r="V66" s="60"/>
      <c r="W66" s="60"/>
      <c r="X66" s="60"/>
      <c r="Y66" s="60"/>
    </row>
    <row r="67" s="36" customFormat="1" ht="36.75" customHeight="1">
      <c r="A67" s="91"/>
      <c r="B67" s="92"/>
      <c r="C67" s="93"/>
      <c r="D67" s="94" t="s">
        <v>135</v>
      </c>
      <c r="E67" s="57">
        <f>E5+E17</f>
        <v>13146950.938656718</v>
      </c>
      <c r="F67" s="57">
        <f>F5+F17</f>
        <v>35893709.970000006</v>
      </c>
      <c r="G67" s="57">
        <f>G5+G17</f>
        <v>18297066.370000001</v>
      </c>
      <c r="H67" s="57">
        <f>H5+H17</f>
        <v>4654745.3700000001</v>
      </c>
      <c r="I67" s="57">
        <f>I5+I17</f>
        <v>14410551.079999996</v>
      </c>
      <c r="J67" s="57">
        <f>J5+J17</f>
        <v>443111.60999999987</v>
      </c>
      <c r="K67" s="57">
        <f t="shared" si="16"/>
        <v>1263600.1413432788</v>
      </c>
      <c r="L67" s="57">
        <f t="shared" si="9"/>
        <v>-3886515.2900000047</v>
      </c>
      <c r="M67" s="57">
        <f t="shared" si="17"/>
        <v>-21483158.890000008</v>
      </c>
      <c r="N67" s="57">
        <f t="shared" si="18"/>
        <v>-4211633.7599999998</v>
      </c>
      <c r="O67" s="42">
        <f t="shared" si="12"/>
        <v>1.0961135511373854</v>
      </c>
      <c r="P67" s="42">
        <f t="shared" si="13"/>
        <v>0.095195671251078529</v>
      </c>
      <c r="Q67" s="42">
        <f t="shared" si="14"/>
        <v>0.78758806404220283</v>
      </c>
      <c r="R67" s="42">
        <f t="shared" si="15"/>
        <v>0.40147845101674773</v>
      </c>
      <c r="S67" s="36"/>
      <c r="T67" s="36"/>
      <c r="U67" s="36"/>
      <c r="V67" s="36"/>
      <c r="W67" s="36"/>
      <c r="X67" s="36"/>
      <c r="Y67" s="36"/>
    </row>
    <row r="68" s="36" customFormat="1">
      <c r="A68" s="95"/>
      <c r="B68" s="96"/>
      <c r="C68" s="39"/>
      <c r="D68" s="56" t="s">
        <v>136</v>
      </c>
      <c r="E68" s="97">
        <f>SUM(E69:E77)</f>
        <v>14113056.07</v>
      </c>
      <c r="F68" s="57">
        <f>SUM(F69:F77)</f>
        <v>26324251.939999998</v>
      </c>
      <c r="G68" s="57">
        <f>SUM(G69:G77)</f>
        <v>14201895.459999999</v>
      </c>
      <c r="H68" s="57">
        <f>SUM(H69:H77)</f>
        <v>1341302.5600000001</v>
      </c>
      <c r="I68" s="57">
        <f>SUM(I69:I77)</f>
        <v>13871043.499999998</v>
      </c>
      <c r="J68" s="57">
        <f>SUM(J69:J77)</f>
        <v>978911.65999999992</v>
      </c>
      <c r="K68" s="57">
        <f t="shared" si="16"/>
        <v>-242012.57000000216</v>
      </c>
      <c r="L68" s="57">
        <f t="shared" si="9"/>
        <v>-330851.96000000089</v>
      </c>
      <c r="M68" s="57">
        <f t="shared" si="17"/>
        <v>-12453208.439999999</v>
      </c>
      <c r="N68" s="57">
        <f t="shared" si="18"/>
        <v>-362390.90000000014</v>
      </c>
      <c r="O68" s="42">
        <f t="shared" si="12"/>
        <v>0.98285186647033551</v>
      </c>
      <c r="P68" s="42">
        <f t="shared" si="13"/>
        <v>0.72982165932792964</v>
      </c>
      <c r="Q68" s="42">
        <f t="shared" si="14"/>
        <v>0.97670367586271467</v>
      </c>
      <c r="R68" s="42">
        <f t="shared" si="15"/>
        <v>0.5269302060934461</v>
      </c>
      <c r="S68" s="36"/>
      <c r="T68" s="36"/>
      <c r="U68" s="36"/>
      <c r="V68" s="36"/>
      <c r="W68" s="36"/>
      <c r="X68" s="36"/>
      <c r="Y68" s="36"/>
    </row>
    <row r="69" ht="22.5">
      <c r="A69" s="43"/>
      <c r="B69" s="44"/>
      <c r="C69" s="45" t="s">
        <v>137</v>
      </c>
      <c r="D69" s="98" t="s">
        <v>138</v>
      </c>
      <c r="E69" s="49">
        <v>217715.60000000001</v>
      </c>
      <c r="F69" s="48">
        <f>415518.3+34014.9</f>
        <v>449533.20000000001</v>
      </c>
      <c r="G69" s="49">
        <f>265314.7+34014.9</f>
        <v>299329.60000000003</v>
      </c>
      <c r="H69" s="49">
        <v>34014.900000000001</v>
      </c>
      <c r="I69" s="47">
        <v>299329.59999999998</v>
      </c>
      <c r="J69" s="47">
        <v>0</v>
      </c>
      <c r="K69" s="49">
        <f t="shared" si="16"/>
        <v>81613.999999999971</v>
      </c>
      <c r="L69" s="49">
        <f t="shared" si="9"/>
        <v>-5.8207660913467407e-11</v>
      </c>
      <c r="M69" s="49">
        <f t="shared" si="17"/>
        <v>-150203.60000000003</v>
      </c>
      <c r="N69" s="49">
        <f t="shared" si="18"/>
        <v>-34014.900000000001</v>
      </c>
      <c r="O69" s="51">
        <f t="shared" si="12"/>
        <v>1.3748651911025207</v>
      </c>
      <c r="P69" s="51">
        <f t="shared" si="13"/>
        <v>0</v>
      </c>
      <c r="Q69" s="51">
        <f t="shared" si="14"/>
        <v>0.99999999999999978</v>
      </c>
      <c r="R69" s="51">
        <f t="shared" si="15"/>
        <v>0.66586761556209861</v>
      </c>
      <c r="S69" s="1"/>
      <c r="T69" s="1"/>
      <c r="U69" s="1"/>
      <c r="V69" s="1"/>
      <c r="W69" s="1"/>
      <c r="X69" s="1"/>
      <c r="Y69" s="1"/>
    </row>
    <row r="70" ht="18" customHeight="1">
      <c r="A70" s="43"/>
      <c r="B70" s="44"/>
      <c r="C70" s="45" t="s">
        <v>139</v>
      </c>
      <c r="D70" s="99" t="s">
        <v>140</v>
      </c>
      <c r="E70" s="100">
        <v>2747849.2999999998</v>
      </c>
      <c r="F70" s="49">
        <v>6681476.2000000002</v>
      </c>
      <c r="G70" s="49">
        <v>1689305.0200000005</v>
      </c>
      <c r="H70" s="49">
        <v>160619.91999999998</v>
      </c>
      <c r="I70" s="47">
        <v>1532500.01</v>
      </c>
      <c r="J70" s="47">
        <v>3814.9000000000001</v>
      </c>
      <c r="K70" s="49">
        <f t="shared" si="16"/>
        <v>-1215349.2899999998</v>
      </c>
      <c r="L70" s="49">
        <f t="shared" si="9"/>
        <v>-156805.01000000047</v>
      </c>
      <c r="M70" s="49">
        <f t="shared" si="17"/>
        <v>-5148976.1900000004</v>
      </c>
      <c r="N70" s="49">
        <f t="shared" si="18"/>
        <v>-156805.01999999999</v>
      </c>
      <c r="O70" s="51">
        <f t="shared" si="12"/>
        <v>0.55770889982940486</v>
      </c>
      <c r="P70" s="51">
        <f t="shared" si="13"/>
        <v>0.02375110135778925</v>
      </c>
      <c r="Q70" s="51">
        <f t="shared" si="14"/>
        <v>0.90717779906911045</v>
      </c>
      <c r="R70" s="51">
        <f t="shared" si="15"/>
        <v>0.22936548213701635</v>
      </c>
      <c r="S70" s="1"/>
      <c r="T70" s="1"/>
      <c r="U70" s="1"/>
      <c r="V70" s="1"/>
      <c r="W70" s="1"/>
      <c r="X70" s="1"/>
      <c r="Y70" s="1"/>
    </row>
    <row r="71" ht="16.5" customHeight="1">
      <c r="A71" s="43"/>
      <c r="B71" s="44"/>
      <c r="C71" s="45" t="s">
        <v>141</v>
      </c>
      <c r="D71" s="99" t="s">
        <v>142</v>
      </c>
      <c r="E71" s="48">
        <v>8227918.4900000002</v>
      </c>
      <c r="F71" s="49">
        <v>15931150.829999998</v>
      </c>
      <c r="G71" s="49">
        <f>9949121.85</f>
        <v>9949121.8499999996</v>
      </c>
      <c r="H71" s="48">
        <f>1045840.91</f>
        <v>1045840.91</v>
      </c>
      <c r="I71" s="47">
        <v>9877242.8699999992</v>
      </c>
      <c r="J71" s="101">
        <v>974735.77999999991</v>
      </c>
      <c r="K71" s="49">
        <f t="shared" si="16"/>
        <v>1649324.379999999</v>
      </c>
      <c r="L71" s="49">
        <f t="shared" si="9"/>
        <v>-71878.980000000447</v>
      </c>
      <c r="M71" s="49">
        <f t="shared" si="17"/>
        <v>-6053907.959999999</v>
      </c>
      <c r="N71" s="49">
        <f t="shared" si="18"/>
        <v>-71105.130000000121</v>
      </c>
      <c r="O71" s="51">
        <f t="shared" si="12"/>
        <v>1.2004546328460284</v>
      </c>
      <c r="P71" s="51">
        <f t="shared" si="13"/>
        <v>0.93201152362647577</v>
      </c>
      <c r="Q71" s="51">
        <f t="shared" si="14"/>
        <v>0.99277534428830017</v>
      </c>
      <c r="R71" s="51">
        <f t="shared" si="15"/>
        <v>0.61999556563108627</v>
      </c>
      <c r="S71" s="1"/>
      <c r="T71" s="1"/>
      <c r="U71" s="1"/>
      <c r="V71" s="1"/>
      <c r="W71" s="1"/>
      <c r="X71" s="1"/>
      <c r="Y71" s="1"/>
    </row>
    <row r="72" ht="22.5">
      <c r="A72" s="43"/>
      <c r="B72" s="44"/>
      <c r="C72" s="45" t="s">
        <v>143</v>
      </c>
      <c r="D72" s="102" t="s">
        <v>144</v>
      </c>
      <c r="E72" s="48">
        <v>2034366.4199999999</v>
      </c>
      <c r="F72" s="49">
        <f>3244835.82-34225</f>
        <v>3210610.8199999998</v>
      </c>
      <c r="G72" s="49">
        <f>2212658.1</f>
        <v>2212658.1000000001</v>
      </c>
      <c r="H72" s="49">
        <f>55990.54</f>
        <v>55990.540000000001</v>
      </c>
      <c r="I72" s="47">
        <v>2152993.3999999999</v>
      </c>
      <c r="J72" s="47">
        <v>0</v>
      </c>
      <c r="K72" s="49">
        <f t="shared" si="16"/>
        <v>118626.97999999998</v>
      </c>
      <c r="L72" s="49">
        <f t="shared" si="9"/>
        <v>-59664.700000000186</v>
      </c>
      <c r="M72" s="49">
        <f t="shared" si="17"/>
        <v>-1057617.4199999999</v>
      </c>
      <c r="N72" s="49">
        <f t="shared" si="18"/>
        <v>-55990.540000000001</v>
      </c>
      <c r="O72" s="51">
        <f t="shared" si="12"/>
        <v>1.0583115110600381</v>
      </c>
      <c r="P72" s="51">
        <f t="shared" si="13"/>
        <v>0</v>
      </c>
      <c r="Q72" s="51">
        <f t="shared" si="14"/>
        <v>0.97303483082180653</v>
      </c>
      <c r="R72" s="51">
        <f t="shared" si="15"/>
        <v>0.67058685113382877</v>
      </c>
      <c r="S72" s="1"/>
      <c r="T72" s="1"/>
      <c r="U72" s="1"/>
      <c r="V72" s="1"/>
      <c r="W72" s="1"/>
      <c r="X72" s="1"/>
      <c r="Y72" s="1"/>
    </row>
    <row r="73" ht="33">
      <c r="A73" s="43"/>
      <c r="B73" s="44"/>
      <c r="C73" s="45" t="s">
        <v>145</v>
      </c>
      <c r="D73" s="102" t="s">
        <v>146</v>
      </c>
      <c r="E73" s="48">
        <v>446.22000000000003</v>
      </c>
      <c r="F73" s="48">
        <v>0</v>
      </c>
      <c r="G73" s="100">
        <v>0</v>
      </c>
      <c r="H73" s="48">
        <v>0</v>
      </c>
      <c r="I73" s="47">
        <v>7534.4099999999999</v>
      </c>
      <c r="J73" s="47">
        <v>0</v>
      </c>
      <c r="K73" s="49">
        <f t="shared" si="16"/>
        <v>7088.1899999999996</v>
      </c>
      <c r="L73" s="49">
        <f t="shared" si="9"/>
        <v>7534.4099999999999</v>
      </c>
      <c r="M73" s="49">
        <f t="shared" si="17"/>
        <v>7534.4099999999999</v>
      </c>
      <c r="N73" s="49">
        <f t="shared" si="18"/>
        <v>0</v>
      </c>
      <c r="O73" s="90">
        <f t="shared" si="12"/>
        <v>16.884967056608847</v>
      </c>
      <c r="P73" s="51" t="str">
        <f t="shared" si="13"/>
        <v/>
      </c>
      <c r="Q73" s="51" t="str">
        <f t="shared" si="14"/>
        <v/>
      </c>
      <c r="R73" s="51" t="str">
        <f t="shared" si="15"/>
        <v/>
      </c>
      <c r="S73" s="1"/>
      <c r="T73" s="1"/>
      <c r="U73" s="1"/>
      <c r="V73" s="1"/>
      <c r="W73" s="1"/>
      <c r="X73" s="1"/>
      <c r="Y73" s="1"/>
    </row>
    <row r="74" ht="19.5" customHeight="1">
      <c r="A74" s="43"/>
      <c r="B74" s="44"/>
      <c r="C74" s="45" t="s">
        <v>147</v>
      </c>
      <c r="D74" s="102" t="s">
        <v>148</v>
      </c>
      <c r="E74" s="48">
        <v>931777.56999999995</v>
      </c>
      <c r="F74" s="48">
        <v>44836.290000000001</v>
      </c>
      <c r="G74" s="48">
        <v>44836.290000000001</v>
      </c>
      <c r="H74" s="48">
        <v>44836.290000000001</v>
      </c>
      <c r="I74" s="47">
        <v>44836.290000000001</v>
      </c>
      <c r="J74" s="47">
        <v>370</v>
      </c>
      <c r="K74" s="49">
        <f t="shared" si="16"/>
        <v>-886941.27999999991</v>
      </c>
      <c r="L74" s="49">
        <f t="shared" ref="L74:L78" si="19">I74-G74</f>
        <v>0</v>
      </c>
      <c r="M74" s="49">
        <f t="shared" si="17"/>
        <v>0</v>
      </c>
      <c r="N74" s="49">
        <f t="shared" si="18"/>
        <v>-44466.290000000001</v>
      </c>
      <c r="O74" s="51">
        <f t="shared" ref="O74:O78" si="20">IFERROR(I74/E74,"")</f>
        <v>0.048119091340651184</v>
      </c>
      <c r="P74" s="51">
        <f t="shared" ref="P74:P78" si="21">IFERROR(J74/H74,"")</f>
        <v>0.0082522438854775899</v>
      </c>
      <c r="Q74" s="51">
        <f t="shared" ref="Q74:Q78" si="22">IFERROR(I74/G74,"")</f>
        <v>1</v>
      </c>
      <c r="R74" s="51">
        <f t="shared" ref="R74:R78" si="23">IFERROR(I74/F74,"")</f>
        <v>1</v>
      </c>
      <c r="S74" s="1"/>
      <c r="T74" s="1"/>
      <c r="U74" s="1"/>
      <c r="V74" s="1"/>
      <c r="W74" s="1"/>
      <c r="X74" s="1"/>
      <c r="Y74" s="1"/>
    </row>
    <row r="75" ht="30" hidden="1" customHeight="1">
      <c r="A75" s="37"/>
      <c r="B75" s="38"/>
      <c r="C75" s="45" t="s">
        <v>149</v>
      </c>
      <c r="D75" s="103" t="s">
        <v>150</v>
      </c>
      <c r="E75" s="52"/>
      <c r="F75" s="52">
        <v>0</v>
      </c>
      <c r="G75" s="52">
        <v>0</v>
      </c>
      <c r="H75" s="52">
        <v>0</v>
      </c>
      <c r="I75" s="104">
        <v>0</v>
      </c>
      <c r="J75" s="104">
        <v>0</v>
      </c>
      <c r="K75" s="53">
        <f t="shared" si="16"/>
        <v>0</v>
      </c>
      <c r="L75" s="53">
        <f t="shared" si="19"/>
        <v>0</v>
      </c>
      <c r="M75" s="53">
        <f t="shared" si="17"/>
        <v>0</v>
      </c>
      <c r="N75" s="53">
        <f t="shared" si="18"/>
        <v>0</v>
      </c>
      <c r="O75" s="105" t="str">
        <f t="shared" si="20"/>
        <v/>
      </c>
      <c r="P75" s="51" t="str">
        <f t="shared" si="21"/>
        <v/>
      </c>
      <c r="Q75" s="51" t="str">
        <f t="shared" si="22"/>
        <v/>
      </c>
      <c r="R75" s="51" t="str">
        <f t="shared" si="23"/>
        <v/>
      </c>
      <c r="S75" s="1"/>
      <c r="T75" s="1"/>
      <c r="U75" s="1"/>
      <c r="V75" s="1"/>
      <c r="W75" s="1"/>
      <c r="X75" s="1"/>
      <c r="Y75" s="1"/>
    </row>
    <row r="76" ht="33">
      <c r="A76" s="43"/>
      <c r="B76" s="44"/>
      <c r="C76" s="45" t="s">
        <v>151</v>
      </c>
      <c r="D76" s="106" t="s">
        <v>152</v>
      </c>
      <c r="E76" s="48">
        <v>80740.350000000006</v>
      </c>
      <c r="F76" s="48">
        <v>6644.5999999999995</v>
      </c>
      <c r="G76" s="48">
        <v>6644.5999999999995</v>
      </c>
      <c r="H76" s="48">
        <v>0</v>
      </c>
      <c r="I76" s="47">
        <v>26552.18</v>
      </c>
      <c r="J76" s="47">
        <v>0</v>
      </c>
      <c r="K76" s="49">
        <f t="shared" si="16"/>
        <v>-54188.170000000006</v>
      </c>
      <c r="L76" s="49">
        <f t="shared" si="19"/>
        <v>19907.580000000002</v>
      </c>
      <c r="M76" s="49">
        <f t="shared" si="17"/>
        <v>19907.580000000002</v>
      </c>
      <c r="N76" s="49">
        <f t="shared" si="18"/>
        <v>0</v>
      </c>
      <c r="O76" s="51">
        <f t="shared" si="20"/>
        <v>0.3288588667252495</v>
      </c>
      <c r="P76" s="51" t="str">
        <f t="shared" si="21"/>
        <v/>
      </c>
      <c r="Q76" s="51">
        <f t="shared" si="22"/>
        <v>3.9960539385365563</v>
      </c>
      <c r="R76" s="51">
        <f t="shared" si="23"/>
        <v>3.9960539385365563</v>
      </c>
      <c r="S76" s="1"/>
      <c r="T76" s="1"/>
      <c r="U76" s="1"/>
      <c r="V76" s="1"/>
      <c r="W76" s="1"/>
      <c r="X76" s="1"/>
      <c r="Y76" s="1"/>
    </row>
    <row r="77" ht="14.25" customHeight="1">
      <c r="A77" s="43"/>
      <c r="B77" s="44"/>
      <c r="C77" s="45" t="s">
        <v>153</v>
      </c>
      <c r="D77" s="106" t="s">
        <v>154</v>
      </c>
      <c r="E77" s="48">
        <v>-127757.88</v>
      </c>
      <c r="F77" s="48">
        <v>0</v>
      </c>
      <c r="G77" s="48">
        <v>0</v>
      </c>
      <c r="H77" s="48">
        <v>0</v>
      </c>
      <c r="I77" s="47">
        <v>-69945.260000000009</v>
      </c>
      <c r="J77" s="47">
        <v>-9.0199999999999996</v>
      </c>
      <c r="K77" s="49">
        <f t="shared" si="16"/>
        <v>57812.619999999995</v>
      </c>
      <c r="L77" s="49">
        <f t="shared" si="19"/>
        <v>-69945.260000000009</v>
      </c>
      <c r="M77" s="49">
        <f t="shared" si="17"/>
        <v>-69945.260000000009</v>
      </c>
      <c r="N77" s="49">
        <f t="shared" si="18"/>
        <v>-9.0199999999999996</v>
      </c>
      <c r="O77" s="51">
        <f t="shared" si="20"/>
        <v>0.54748294195238689</v>
      </c>
      <c r="P77" s="51" t="str">
        <f t="shared" si="21"/>
        <v/>
      </c>
      <c r="Q77" s="51" t="str">
        <f t="shared" si="22"/>
        <v/>
      </c>
      <c r="R77" s="51" t="str">
        <f t="shared" si="23"/>
        <v/>
      </c>
      <c r="S77" s="1"/>
      <c r="T77" s="1"/>
      <c r="U77" s="1"/>
      <c r="V77" s="1"/>
      <c r="W77" s="1"/>
      <c r="X77" s="1"/>
      <c r="Y77" s="1"/>
    </row>
    <row r="78" s="36" customFormat="1" ht="22.5" customHeight="1">
      <c r="A78" s="107"/>
      <c r="B78" s="108"/>
      <c r="C78" s="109"/>
      <c r="D78" s="110" t="s">
        <v>155</v>
      </c>
      <c r="E78" s="57">
        <f>E67+E68</f>
        <v>27260007.008656718</v>
      </c>
      <c r="F78" s="57">
        <f>F67+F68</f>
        <v>62217961.910000004</v>
      </c>
      <c r="G78" s="57">
        <f>G67+G68</f>
        <v>32498961.829999998</v>
      </c>
      <c r="H78" s="57">
        <f>H67+H68</f>
        <v>5996047.9299999997</v>
      </c>
      <c r="I78" s="57">
        <f>I67+I68</f>
        <v>28281594.579999994</v>
      </c>
      <c r="J78" s="57">
        <f>J67+J68</f>
        <v>1422023.2699999998</v>
      </c>
      <c r="K78" s="57">
        <f t="shared" si="16"/>
        <v>1021587.5713432766</v>
      </c>
      <c r="L78" s="57">
        <f t="shared" si="19"/>
        <v>-4217367.2500000037</v>
      </c>
      <c r="M78" s="57">
        <f t="shared" si="17"/>
        <v>-33936367.330000013</v>
      </c>
      <c r="N78" s="57">
        <f t="shared" si="18"/>
        <v>-4574024.6600000001</v>
      </c>
      <c r="O78" s="42">
        <f t="shared" si="20"/>
        <v>1.037475689973919</v>
      </c>
      <c r="P78" s="42">
        <f t="shared" si="21"/>
        <v>0.23716009054650766</v>
      </c>
      <c r="Q78" s="42">
        <f t="shared" si="22"/>
        <v>0.87023070853583617</v>
      </c>
      <c r="R78" s="42">
        <f t="shared" si="23"/>
        <v>0.45455675036270232</v>
      </c>
      <c r="S78" s="36"/>
      <c r="T78" s="36"/>
      <c r="U78" s="36"/>
      <c r="V78" s="36"/>
      <c r="W78" s="36"/>
      <c r="X78" s="36"/>
      <c r="Y78" s="36"/>
    </row>
    <row r="79">
      <c r="A79" s="111" t="s">
        <v>156</v>
      </c>
      <c r="B79" s="112" t="s">
        <v>157</v>
      </c>
      <c r="C79" s="113"/>
      <c r="D79" s="114"/>
      <c r="E79" s="115"/>
      <c r="F79" s="116"/>
      <c r="G79" s="116"/>
      <c r="H79" s="116"/>
      <c r="I79" s="117"/>
      <c r="J79" s="117"/>
      <c r="K79" s="118"/>
      <c r="L79" s="118"/>
      <c r="M79" s="116"/>
      <c r="N79" s="116"/>
      <c r="O79" s="116"/>
      <c r="S79" s="1"/>
      <c r="T79" s="1"/>
      <c r="U79" s="1"/>
      <c r="V79" s="1"/>
      <c r="W79" s="1"/>
      <c r="X79" s="1"/>
      <c r="Y79" s="1"/>
    </row>
    <row r="80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H84" s="6"/>
      <c r="I84" s="7"/>
      <c r="J84" s="7"/>
      <c r="U84" s="1"/>
      <c r="V84" s="1"/>
      <c r="W84" s="1"/>
    </row>
    <row r="85" ht="12.75">
      <c r="F85" s="1"/>
      <c r="H85" s="6"/>
      <c r="I85" s="7"/>
      <c r="J85" s="7"/>
      <c r="U85" s="1"/>
      <c r="V85" s="1"/>
      <c r="W85" s="1"/>
    </row>
    <row r="86" ht="12.75">
      <c r="F86" s="1"/>
      <c r="H86" s="6"/>
      <c r="I86" s="7"/>
      <c r="J86" s="7"/>
      <c r="U86" s="1"/>
      <c r="V86" s="1"/>
      <c r="W86" s="1"/>
    </row>
    <row r="87" ht="12.75">
      <c r="E87" s="5"/>
      <c r="F87" s="1"/>
      <c r="H87" s="6"/>
      <c r="I87" s="7"/>
      <c r="J87" s="7"/>
      <c r="U87" s="1"/>
      <c r="V87" s="1"/>
      <c r="W87" s="1"/>
    </row>
    <row r="88" ht="12.75">
      <c r="H88" s="6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5" ht="12.75">
      <c r="F105" s="1"/>
      <c r="G105" s="1"/>
      <c r="H105" s="6"/>
    </row>
  </sheetData>
  <autoFilter ref="A4:R80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142</cp:revision>
  <dcterms:created xsi:type="dcterms:W3CDTF">2015-02-26T11:08:47Z</dcterms:created>
  <dcterms:modified xsi:type="dcterms:W3CDTF">2025-07-07T12:31:40Z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