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8.2025 " sheetId="1" state="visible" r:id="rId1"/>
  </sheets>
  <definedNames>
    <definedName name="_xlnm._FilterDatabase" localSheetId="0" hidden="1">'на 01.08.2025 '!$A$4:$R$79</definedName>
    <definedName name="Print_Titles" localSheetId="0" hidden="0">'на 01.08.2025 '!$3:$4</definedName>
    <definedName name="Print_Area" localSheetId="0" hidden="0">'на 01.08.2025 '!$A$1:$R$79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01.08.2025 '!$A$4:$R$79</definedName>
  </definedNames>
  <calcPr/>
</workbook>
</file>

<file path=xl/sharedStrings.xml><?xml version="1.0" encoding="utf-8"?>
<sst xmlns="http://schemas.openxmlformats.org/spreadsheetml/2006/main" count="157" uniqueCount="157">
  <si>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</si>
  <si>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</si>
  <si>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</si>
  <si>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</si>
  <si>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</si>
  <si>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</si>
  <si>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31.07.2024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</si>
  <si>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</si>
  <si>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</si>
  <si>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</si>
  <si>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</si>
  <si>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</si>
  <si>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</si>
  <si>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</si>
  <si>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</si>
  <si>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июль</t>
  </si>
  <si>
    <t>июль</t>
  </si>
  <si>
    <t xml:space="preserve">с нач. года на 01.08.2025 (по 31.07.2025 вкл.)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</si>
  <si>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</si>
  <si>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</si>
  <si>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</si>
  <si>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июль от плана июля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</si>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</sst>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7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color theme="1"/>
      <name val="Times New Roman"/>
    </font>
    <font>
      <i/>
      <sz val="14.000000"/>
      <color indexed="2"/>
      <name val="Times New Roman"/>
    </font>
    <font>
      <i/>
      <sz val="14.000000"/>
      <name val="Times New Roman"/>
    </font>
    <font>
      <i/>
      <sz val="12.000000"/>
      <color theme="1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sz val="14.000000"/>
      <color theme="1" tint="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34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75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center"/>
    </xf>
    <xf fontId="7" fillId="3" borderId="0" numFmtId="0" xfId="0" applyFont="1" applyFill="1" applyAlignment="1">
      <alignment vertical="top"/>
    </xf>
    <xf fontId="8" fillId="3" borderId="0" numFmtId="0" xfId="0" applyFont="1" applyFill="1" applyAlignment="1">
      <alignment vertical="center"/>
    </xf>
    <xf fontId="9" fillId="3" borderId="0" numFmtId="162" xfId="0" applyNumberFormat="1" applyFont="1" applyFill="1" applyAlignment="1">
      <alignment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6" fillId="3" borderId="0" numFmtId="163" xfId="0" applyNumberFormat="1" applyFont="1" applyFill="1" applyAlignment="1">
      <alignment vertical="center"/>
    </xf>
    <xf fontId="9" fillId="3" borderId="0" numFmtId="0" xfId="0" applyFont="1" applyFill="1" applyAlignment="1">
      <alignment horizontal="center" vertical="center" wrapText="1"/>
    </xf>
    <xf fontId="6" fillId="3" borderId="0" numFmtId="49" xfId="0" applyNumberFormat="1" applyFont="1" applyFill="1" applyAlignment="1">
      <alignment horizontal="center" vertical="center" wrapText="1"/>
    </xf>
    <xf fontId="10" fillId="3" borderId="0" numFmtId="0" xfId="0" applyFont="1" applyFill="1" applyAlignment="1">
      <alignment horizontal="center" vertical="top" wrapText="1"/>
    </xf>
    <xf fontId="8" fillId="3" borderId="1" numFmtId="0" xfId="0" applyFont="1" applyFill="1" applyBorder="1" applyAlignment="1">
      <alignment horizontal="center" vertical="center" wrapText="1"/>
    </xf>
    <xf fontId="9" fillId="3" borderId="0" numFmtId="162" xfId="0" applyNumberFormat="1" applyFont="1" applyFill="1" applyAlignment="1">
      <alignment horizontal="center" vertical="center" wrapText="1"/>
    </xf>
    <xf fontId="9" fillId="3" borderId="0" numFmtId="163" xfId="0" applyNumberFormat="1" applyFont="1" applyFill="1" applyAlignment="1">
      <alignment horizontal="center" vertical="center" wrapText="1"/>
    </xf>
    <xf fontId="6" fillId="3" borderId="0" numFmtId="163" xfId="0" applyNumberFormat="1" applyFont="1" applyFill="1" applyAlignment="1">
      <alignment horizontal="center" vertical="center" wrapText="1"/>
    </xf>
    <xf fontId="11" fillId="3" borderId="0" numFmtId="0" xfId="0" applyFont="1" applyFill="1" applyAlignment="1">
      <alignment horizontal="right" vertical="center" wrapText="1"/>
    </xf>
    <xf fontId="11" fillId="3" borderId="0" numFmtId="0" xfId="0" applyFont="1" applyFill="1" applyAlignment="1">
      <alignment horizontal="right" vertical="center"/>
    </xf>
    <xf fontId="12" fillId="3" borderId="0" numFmtId="0" xfId="0" applyFont="1" applyFill="1" applyAlignment="1">
      <alignment vertical="center"/>
    </xf>
    <xf fontId="13" fillId="3" borderId="2" numFmtId="49" xfId="0" applyNumberFormat="1" applyFont="1" applyFill="1" applyBorder="1" applyAlignment="1">
      <alignment horizontal="center" vertical="center" wrapText="1"/>
    </xf>
    <xf fontId="14" fillId="3" borderId="3" numFmtId="0" xfId="0" applyFont="1" applyFill="1" applyBorder="1" applyAlignment="1">
      <alignment horizontal="center" vertical="center" wrapText="1"/>
    </xf>
    <xf fontId="13" fillId="3" borderId="4" numFmtId="49" xfId="0" applyNumberFormat="1" applyFont="1" applyFill="1" applyBorder="1" applyAlignment="1">
      <alignment horizontal="center" vertical="center" wrapText="1"/>
    </xf>
    <xf fontId="14" fillId="3" borderId="4" numFmtId="0" xfId="0" applyFont="1" applyFill="1" applyBorder="1" applyAlignment="1">
      <alignment horizontal="center" vertical="center" wrapText="1"/>
    </xf>
    <xf fontId="15" fillId="3" borderId="4" numFmtId="162" xfId="0" applyNumberFormat="1" applyFont="1" applyFill="1" applyBorder="1" applyAlignment="1">
      <alignment horizontal="center" vertical="center" wrapText="1"/>
    </xf>
    <xf fontId="14" fillId="3" borderId="5" numFmtId="162" xfId="0" applyNumberFormat="1" applyFont="1" applyFill="1" applyBorder="1" applyAlignment="1">
      <alignment horizontal="center" vertical="center" wrapText="1"/>
    </xf>
    <xf fontId="14" fillId="3" borderId="6" numFmtId="162" xfId="0" applyNumberFormat="1" applyFont="1" applyFill="1" applyBorder="1" applyAlignment="1">
      <alignment horizontal="center" vertical="center" wrapText="1"/>
    </xf>
    <xf fontId="14" fillId="3" borderId="7" numFmtId="162" xfId="0" applyNumberFormat="1" applyFont="1" applyFill="1" applyBorder="1" applyAlignment="1">
      <alignment horizontal="center" vertical="center" wrapText="1"/>
    </xf>
    <xf fontId="14" fillId="3" borderId="5" numFmtId="163" xfId="0" applyNumberFormat="1" applyFont="1" applyFill="1" applyBorder="1" applyAlignment="1">
      <alignment horizontal="center" vertical="center" wrapText="1"/>
    </xf>
    <xf fontId="14" fillId="3" borderId="7" numFmtId="163" xfId="0" applyNumberFormat="1" applyFont="1" applyFill="1" applyBorder="1" applyAlignment="1">
      <alignment horizontal="center" vertical="center" wrapText="1"/>
    </xf>
    <xf fontId="14" fillId="3" borderId="4" numFmtId="0" xfId="0" applyFont="1" applyFill="1" applyBorder="1" applyAlignment="1">
      <alignment horizontal="center" vertical="top" wrapText="1"/>
    </xf>
    <xf fontId="14" fillId="3" borderId="4" numFmtId="164" xfId="105" applyNumberFormat="1" applyFont="1" applyFill="1" applyBorder="1" applyAlignment="1" applyProtection="1">
      <alignment horizontal="center" vertical="top" wrapText="1"/>
    </xf>
    <xf fontId="13" fillId="3" borderId="8" numFmtId="49" xfId="0" applyNumberFormat="1" applyFont="1" applyFill="1" applyBorder="1" applyAlignment="1">
      <alignment horizontal="center" vertical="center" wrapText="1"/>
    </xf>
    <xf fontId="14" fillId="3" borderId="9" numFmtId="0" xfId="0" applyFont="1" applyFill="1" applyBorder="1" applyAlignment="1">
      <alignment horizontal="center" vertical="center" wrapText="1"/>
    </xf>
    <xf fontId="13" fillId="3" borderId="10" numFmtId="49" xfId="0" applyNumberFormat="1" applyFont="1" applyFill="1" applyBorder="1" applyAlignment="1">
      <alignment horizontal="center" vertical="center" wrapText="1"/>
    </xf>
    <xf fontId="14" fillId="3" borderId="10" numFmtId="0" xfId="0" applyFont="1" applyFill="1" applyBorder="1" applyAlignment="1">
      <alignment horizontal="center" vertical="center" wrapText="1"/>
    </xf>
    <xf fontId="15" fillId="3" borderId="10" numFmtId="162" xfId="0" applyNumberFormat="1" applyFont="1" applyFill="1" applyBorder="1" applyAlignment="1">
      <alignment horizontal="center" vertical="center" wrapText="1"/>
    </xf>
    <xf fontId="14" fillId="3" borderId="0" numFmtId="163" xfId="0" applyNumberFormat="1" applyFont="1" applyFill="1" applyAlignment="1">
      <alignment horizontal="center" vertical="center" wrapText="1"/>
    </xf>
    <xf fontId="14" fillId="3" borderId="10" numFmtId="163" xfId="0" applyNumberFormat="1" applyFont="1" applyFill="1" applyBorder="1" applyAlignment="1">
      <alignment horizontal="center" vertical="center" wrapText="1"/>
    </xf>
    <xf fontId="15" fillId="3" borderId="10" numFmtId="163" xfId="0" applyNumberFormat="1" applyFont="1" applyFill="1" applyBorder="1" applyAlignment="1">
      <alignment horizontal="center" vertical="top" wrapText="1"/>
    </xf>
    <xf fontId="14" fillId="3" borderId="0" numFmtId="162" xfId="0" applyNumberFormat="1" applyFont="1" applyFill="1" applyAlignment="1">
      <alignment horizontal="center" vertical="center" wrapText="1"/>
    </xf>
    <xf fontId="14" fillId="3" borderId="10" numFmtId="162" xfId="0" applyNumberFormat="1" applyFont="1" applyFill="1" applyBorder="1" applyAlignment="1">
      <alignment horizontal="center" vertical="top" wrapText="1"/>
    </xf>
    <xf fontId="14" fillId="3" borderId="0" numFmtId="162" xfId="0" applyNumberFormat="1" applyFont="1" applyFill="1" applyAlignment="1">
      <alignment horizontal="center" vertical="top" wrapText="1"/>
    </xf>
    <xf fontId="14" fillId="3" borderId="10" numFmtId="0" xfId="0" applyFont="1" applyFill="1" applyBorder="1" applyAlignment="1">
      <alignment horizontal="center" vertical="top" wrapText="1"/>
    </xf>
    <xf fontId="14" fillId="3" borderId="10" numFmtId="164" xfId="105" applyNumberFormat="1" applyFont="1" applyFill="1" applyBorder="1" applyAlignment="1" applyProtection="1">
      <alignment horizontal="center" vertical="top" wrapText="1"/>
    </xf>
    <xf fontId="16" fillId="3" borderId="0" numFmtId="0" xfId="0" applyFont="1" applyFill="1" applyAlignment="1">
      <alignment vertical="center"/>
    </xf>
    <xf fontId="17" fillId="3" borderId="10" numFmtId="49" xfId="0" applyNumberFormat="1" applyFont="1" applyFill="1" applyBorder="1" applyAlignment="1">
      <alignment horizontal="center" vertical="center" wrapText="1"/>
    </xf>
    <xf fontId="16" fillId="3" borderId="5" numFmtId="0" xfId="0" applyFont="1" applyFill="1" applyBorder="1" applyAlignment="1">
      <alignment horizontal="center" vertical="center" wrapText="1"/>
    </xf>
    <xf fontId="16" fillId="3" borderId="6" numFmtId="0" xfId="0" applyFont="1" applyFill="1" applyBorder="1" applyAlignment="1">
      <alignment horizontal="center" vertical="center" wrapText="1"/>
    </xf>
    <xf fontId="16" fillId="3" borderId="7" numFmtId="0" xfId="0" applyFont="1" applyFill="1" applyBorder="1" applyAlignment="1">
      <alignment horizontal="center" vertical="center" wrapText="1"/>
    </xf>
    <xf fontId="16" fillId="3" borderId="0" numFmtId="162" xfId="0" applyNumberFormat="1" applyFont="1" applyFill="1" applyAlignment="1">
      <alignment vertical="center" wrapText="1"/>
    </xf>
    <xf fontId="16" fillId="3" borderId="10" numFmtId="162" xfId="0" applyNumberFormat="1" applyFont="1" applyFill="1" applyBorder="1" applyAlignment="1">
      <alignment vertical="center" wrapText="1"/>
    </xf>
    <xf fontId="16" fillId="3" borderId="0" numFmtId="164" xfId="0" applyNumberFormat="1" applyFont="1" applyFill="1" applyAlignment="1">
      <alignment horizontal="right" vertical="center" wrapText="1"/>
    </xf>
    <xf fontId="16" fillId="3" borderId="10" numFmtId="164" xfId="0" applyNumberFormat="1" applyFont="1" applyFill="1" applyBorder="1" applyAlignment="1">
      <alignment horizontal="right" vertical="center" wrapText="1"/>
    </xf>
    <xf fontId="6" fillId="3" borderId="4" numFmtId="49" xfId="0" applyNumberFormat="1" applyFont="1" applyFill="1" applyBorder="1" applyAlignment="1">
      <alignment horizontal="center" vertical="center" wrapText="1"/>
    </xf>
    <xf fontId="10" fillId="3" borderId="10" numFmtId="0" xfId="0" applyFont="1" applyFill="1" applyBorder="1" applyAlignment="1">
      <alignment horizontal="center" vertical="center" wrapText="1"/>
    </xf>
    <xf fontId="8" fillId="3" borderId="0" numFmtId="49" xfId="0" applyNumberFormat="1" applyFont="1" applyFill="1" applyAlignment="1">
      <alignment horizontal="center" vertical="center" wrapText="1"/>
    </xf>
    <xf fontId="9" fillId="3" borderId="10" numFmtId="0" xfId="0" applyFont="1" applyFill="1" applyBorder="1" applyAlignment="1">
      <alignment vertical="center" wrapText="1"/>
    </xf>
    <xf fontId="9" fillId="3" borderId="10" numFmtId="162" xfId="0" applyNumberFormat="1" applyFont="1" applyFill="1" applyBorder="1" applyAlignment="1">
      <alignment horizontal="right" vertical="center" wrapText="1"/>
    </xf>
    <xf fontId="9" fillId="3" borderId="0" numFmtId="162" xfId="0" applyNumberFormat="1" applyFont="1" applyFill="1" applyAlignment="1">
      <alignment horizontal="right" vertical="center" wrapText="1"/>
    </xf>
    <xf fontId="9" fillId="3" borderId="0" numFmtId="4" xfId="0" applyNumberFormat="1" applyFont="1" applyFill="1" applyAlignment="1">
      <alignment horizontal="right" vertical="center" wrapText="1"/>
    </xf>
    <xf fontId="9" fillId="3" borderId="10" numFmtId="164" xfId="0" applyNumberFormat="1" applyFont="1" applyFill="1" applyBorder="1" applyAlignment="1">
      <alignment horizontal="right" vertical="center" wrapText="1"/>
    </xf>
    <xf fontId="9" fillId="3" borderId="0" numFmtId="164" xfId="0" applyNumberFormat="1" applyFont="1" applyFill="1" applyAlignment="1">
      <alignment horizontal="right" vertical="center" wrapText="1"/>
    </xf>
    <xf fontId="6" fillId="3" borderId="10" numFmtId="49" xfId="0" applyNumberFormat="1" applyFont="1" applyFill="1" applyBorder="1" applyAlignment="1">
      <alignment horizontal="center" vertical="center" wrapText="1"/>
    </xf>
    <xf fontId="8" fillId="3" borderId="10" numFmtId="49" xfId="0" applyNumberFormat="1" applyFont="1" applyFill="1" applyBorder="1" applyAlignment="1">
      <alignment horizontal="center" vertical="center" wrapText="1"/>
    </xf>
    <xf fontId="9" fillId="3" borderId="0" numFmtId="0" xfId="0" applyFont="1" applyFill="1" applyAlignment="1">
      <alignment vertical="center" wrapText="1"/>
    </xf>
    <xf fontId="9" fillId="3" borderId="10" numFmtId="162" xfId="0" applyNumberFormat="1" applyFont="1" applyFill="1" applyBorder="1" applyAlignment="1">
      <alignment vertical="center" wrapText="1"/>
    </xf>
    <xf fontId="9" fillId="3" borderId="0" numFmtId="162" xfId="0" applyNumberFormat="1" applyFont="1" applyFill="1" applyAlignment="1">
      <alignment vertical="center" wrapText="1"/>
    </xf>
    <xf fontId="9" fillId="3" borderId="0" numFmtId="4" xfId="0" applyNumberFormat="1" applyFont="1" applyFill="1" applyAlignment="1">
      <alignment vertical="center" wrapText="1"/>
    </xf>
    <xf fontId="9" fillId="3" borderId="10" numFmtId="4" xfId="0" applyNumberFormat="1" applyFont="1" applyFill="1" applyBorder="1" applyAlignment="1">
      <alignment vertical="center" wrapText="1"/>
    </xf>
    <xf fontId="16" fillId="3" borderId="5" numFmtId="165" xfId="0" applyNumberFormat="1" applyFont="1" applyFill="1" applyBorder="1" applyAlignment="1">
      <alignment horizontal="center" vertical="center" wrapText="1"/>
    </xf>
    <xf fontId="16" fillId="3" borderId="11" numFmtId="165" xfId="0" applyNumberFormat="1" applyFont="1" applyFill="1" applyBorder="1" applyAlignment="1">
      <alignment horizontal="center" vertical="center" wrapText="1"/>
    </xf>
    <xf fontId="16" fillId="3" borderId="12" numFmtId="165" xfId="0" applyNumberFormat="1" applyFont="1" applyFill="1" applyBorder="1" applyAlignment="1">
      <alignment horizontal="center" vertical="center" wrapText="1"/>
    </xf>
    <xf fontId="16" fillId="3" borderId="13" numFmtId="162" xfId="0" applyNumberFormat="1" applyFont="1" applyFill="1" applyBorder="1" applyAlignment="1">
      <alignment horizontal="right" vertical="center" wrapText="1"/>
    </xf>
    <xf fontId="16" fillId="3" borderId="13" numFmtId="164" xfId="0" applyNumberFormat="1" applyFont="1" applyFill="1" applyBorder="1" applyAlignment="1">
      <alignment horizontal="right" vertical="center" wrapText="1"/>
    </xf>
    <xf fontId="6" fillId="3" borderId="14" numFmtId="49" xfId="0" applyNumberFormat="1" applyFont="1" applyFill="1" applyBorder="1" applyAlignment="1">
      <alignment horizontal="center" vertical="center" wrapText="1"/>
    </xf>
    <xf fontId="10" fillId="3" borderId="15" numFmtId="0" xfId="0" applyFont="1" applyFill="1" applyBorder="1" applyAlignment="1">
      <alignment horizontal="center" vertical="center" wrapText="1"/>
    </xf>
    <xf fontId="8" fillId="3" borderId="16" numFmtId="0" xfId="0" applyFont="1" applyFill="1" applyBorder="1" applyAlignment="1">
      <alignment horizontal="center" vertical="center"/>
    </xf>
    <xf fontId="9" fillId="3" borderId="16" numFmtId="165" xfId="0" applyNumberFormat="1" applyFont="1" applyFill="1" applyBorder="1" applyAlignment="1">
      <alignment vertical="center" wrapText="1"/>
    </xf>
    <xf fontId="9" fillId="3" borderId="16" numFmtId="162" xfId="0" applyNumberFormat="1" applyFont="1" applyFill="1" applyBorder="1" applyAlignment="1">
      <alignment horizontal="right" vertical="center" wrapText="1"/>
    </xf>
    <xf fontId="9" fillId="3" borderId="16" numFmtId="164" xfId="0" applyNumberFormat="1" applyFont="1" applyFill="1" applyBorder="1" applyAlignment="1">
      <alignment horizontal="right" vertical="center" wrapText="1"/>
    </xf>
    <xf fontId="9" fillId="3" borderId="17" numFmtId="164" xfId="0" applyNumberFormat="1" applyFont="1" applyFill="1" applyBorder="1" applyAlignment="1">
      <alignment horizontal="right" vertical="center" wrapText="1"/>
    </xf>
    <xf fontId="6" fillId="3" borderId="18" numFmtId="49" xfId="0" applyNumberFormat="1" applyFont="1" applyFill="1" applyBorder="1" applyAlignment="1">
      <alignment horizontal="center" vertical="center" wrapText="1"/>
    </xf>
    <xf fontId="10" fillId="3" borderId="19" numFmtId="0" xfId="0" applyFont="1" applyFill="1" applyBorder="1" applyAlignment="1">
      <alignment horizontal="center" vertical="center" wrapText="1"/>
    </xf>
    <xf fontId="9" fillId="3" borderId="0" numFmtId="165" xfId="0" applyNumberFormat="1" applyFont="1" applyFill="1" applyAlignment="1">
      <alignment vertical="center" wrapText="1"/>
    </xf>
    <xf fontId="9" fillId="3" borderId="10" numFmtId="4" xfId="0" applyNumberFormat="1" applyFont="1" applyFill="1" applyBorder="1" applyAlignment="1">
      <alignment horizontal="right" vertical="center" wrapText="1"/>
    </xf>
    <xf fontId="9" fillId="3" borderId="18" numFmtId="164" xfId="0" applyNumberFormat="1" applyFont="1" applyFill="1" applyBorder="1" applyAlignment="1">
      <alignment horizontal="right" vertical="center" wrapText="1"/>
    </xf>
    <xf fontId="9" fillId="3" borderId="10" numFmtId="165" xfId="0" applyNumberFormat="1" applyFont="1" applyFill="1" applyBorder="1" applyAlignment="1">
      <alignment vertical="center" wrapText="1"/>
    </xf>
    <xf fontId="18" fillId="3" borderId="0" numFmtId="0" xfId="0" applyFont="1" applyFill="1" applyAlignment="1">
      <alignment vertical="center"/>
    </xf>
    <xf fontId="19" fillId="3" borderId="18" numFmtId="49" xfId="0" applyNumberFormat="1" applyFont="1" applyFill="1" applyBorder="1" applyAlignment="1">
      <alignment horizontal="center" vertical="center" wrapText="1"/>
    </xf>
    <xf fontId="20" fillId="3" borderId="20" numFmtId="0" xfId="0" applyFont="1" applyFill="1" applyBorder="1" applyAlignment="1">
      <alignment horizontal="center" vertical="center" wrapText="1"/>
    </xf>
    <xf fontId="19" fillId="3" borderId="13" numFmtId="49" xfId="0" applyNumberFormat="1" applyFont="1" applyFill="1" applyBorder="1" applyAlignment="1">
      <alignment horizontal="center" vertical="center" wrapText="1"/>
    </xf>
    <xf fontId="20" fillId="3" borderId="13" numFmtId="0" xfId="0" applyFont="1" applyFill="1" applyBorder="1" applyAlignment="1">
      <alignment vertical="center" wrapText="1"/>
    </xf>
    <xf fontId="20" fillId="3" borderId="13" numFmtId="162" xfId="0" applyNumberFormat="1" applyFont="1" applyFill="1" applyBorder="1" applyAlignment="1">
      <alignment horizontal="right" vertical="center" wrapText="1"/>
    </xf>
    <xf fontId="20" fillId="3" borderId="13" numFmtId="164" xfId="0" applyNumberFormat="1" applyFont="1" applyFill="1" applyBorder="1" applyAlignment="1">
      <alignment horizontal="right" vertical="center" wrapText="1"/>
    </xf>
    <xf fontId="20" fillId="3" borderId="21" numFmtId="164" xfId="0" applyNumberFormat="1" applyFont="1" applyFill="1" applyBorder="1" applyAlignment="1">
      <alignment horizontal="right" vertical="center" wrapText="1"/>
    </xf>
    <xf fontId="6" fillId="3" borderId="14" numFmtId="1" xfId="0" applyNumberFormat="1" applyFont="1" applyFill="1" applyBorder="1" applyAlignment="1">
      <alignment horizontal="center" vertical="center" wrapText="1"/>
    </xf>
    <xf fontId="8" fillId="3" borderId="0" numFmtId="0" xfId="0" applyFont="1" applyFill="1" applyAlignment="1">
      <alignment horizontal="center" vertical="center" wrapText="1"/>
    </xf>
    <xf fontId="9" fillId="3" borderId="16" numFmtId="0" xfId="0" applyFont="1" applyFill="1" applyBorder="1" applyAlignment="1">
      <alignment horizontal="left" vertical="center" wrapText="1"/>
    </xf>
    <xf fontId="6" fillId="3" borderId="18" numFmtId="0" xfId="0" applyFont="1" applyFill="1" applyBorder="1" applyAlignment="1">
      <alignment horizontal="center" vertical="center" wrapText="1"/>
    </xf>
    <xf fontId="8" fillId="3" borderId="10" numFmtId="0" xfId="0" applyFont="1" applyFill="1" applyBorder="1" applyAlignment="1">
      <alignment horizontal="center" vertical="center" wrapText="1"/>
    </xf>
    <xf fontId="19" fillId="3" borderId="14" numFmtId="0" xfId="0" applyFont="1" applyFill="1" applyBorder="1" applyAlignment="1">
      <alignment horizontal="center" vertical="center" wrapText="1"/>
    </xf>
    <xf fontId="6" fillId="3" borderId="22" numFmtId="49" xfId="0" applyNumberFormat="1" applyFont="1" applyFill="1" applyBorder="1" applyAlignment="1">
      <alignment horizontal="center" vertical="center" wrapText="1"/>
    </xf>
    <xf fontId="8" fillId="3" borderId="16" numFmtId="49" xfId="0" applyNumberFormat="1" applyFont="1" applyFill="1" applyBorder="1" applyAlignment="1">
      <alignment horizontal="center" vertical="center" wrapText="1"/>
    </xf>
    <xf fontId="9" fillId="3" borderId="10" numFmtId="165" xfId="0" applyNumberFormat="1" applyFont="1" applyFill="1" applyBorder="1" applyAlignment="1">
      <alignment horizontal="left" vertical="center" wrapText="1"/>
    </xf>
    <xf fontId="8" fillId="3" borderId="10" numFmtId="0" xfId="0" applyFont="1" applyFill="1" applyBorder="1" applyAlignment="1">
      <alignment horizontal="center" vertical="center"/>
    </xf>
    <xf fontId="9" fillId="3" borderId="0" numFmtId="0" xfId="0" applyFont="1" applyFill="1" applyAlignment="1">
      <alignment horizontal="left" vertical="center" wrapText="1"/>
    </xf>
    <xf fontId="8" fillId="3" borderId="0" numFmtId="0" xfId="0" applyFont="1" applyFill="1" applyAlignment="1">
      <alignment horizontal="center" vertical="center"/>
    </xf>
    <xf fontId="9" fillId="3" borderId="10" numFmtId="0" xfId="0" applyFont="1" applyFill="1" applyBorder="1" applyAlignment="1">
      <alignment horizontal="left" vertical="center" wrapText="1"/>
    </xf>
    <xf fontId="21" fillId="3" borderId="0" numFmtId="0" xfId="0" applyFont="1" applyFill="1" applyAlignment="1">
      <alignment vertical="center"/>
    </xf>
    <xf fontId="19" fillId="3" borderId="0" numFmtId="49" xfId="0" applyNumberFormat="1" applyFont="1" applyFill="1" applyAlignment="1">
      <alignment horizontal="center" vertical="center" wrapText="1"/>
    </xf>
    <xf fontId="22" fillId="3" borderId="19" numFmtId="0" xfId="0" applyFont="1" applyFill="1" applyBorder="1" applyAlignment="1">
      <alignment horizontal="center" vertical="center" wrapText="1"/>
    </xf>
    <xf fontId="23" fillId="3" borderId="0" numFmtId="0" xfId="0" applyFont="1" applyFill="1" applyAlignment="1">
      <alignment horizontal="right" vertical="center"/>
    </xf>
    <xf fontId="24" fillId="3" borderId="10" numFmtId="0" xfId="0" applyFont="1" applyFill="1" applyBorder="1" applyAlignment="1">
      <alignment horizontal="left" vertical="center" wrapText="1"/>
    </xf>
    <xf fontId="24" fillId="3" borderId="0" numFmtId="162" xfId="0" applyNumberFormat="1" applyFont="1" applyFill="1" applyAlignment="1">
      <alignment horizontal="right" vertical="center" wrapText="1"/>
    </xf>
    <xf fontId="24" fillId="3" borderId="10" numFmtId="162" xfId="0" applyNumberFormat="1" applyFont="1" applyFill="1" applyBorder="1" applyAlignment="1">
      <alignment horizontal="right" vertical="center" wrapText="1"/>
    </xf>
    <xf fontId="24" fillId="3" borderId="0" numFmtId="164" xfId="0" applyNumberFormat="1" applyFont="1" applyFill="1" applyAlignment="1">
      <alignment horizontal="right" vertical="center" wrapText="1"/>
    </xf>
    <xf fontId="24" fillId="3" borderId="10" numFmtId="164" xfId="0" applyNumberFormat="1" applyFont="1" applyFill="1" applyBorder="1" applyAlignment="1">
      <alignment horizontal="right" vertical="center" wrapText="1"/>
    </xf>
    <xf fontId="24" fillId="3" borderId="18" numFmtId="164" xfId="0" applyNumberFormat="1" applyFont="1" applyFill="1" applyBorder="1" applyAlignment="1">
      <alignment horizontal="right" vertical="center" wrapText="1"/>
    </xf>
    <xf fontId="23" fillId="3" borderId="10" numFmtId="0" xfId="0" applyFont="1" applyFill="1" applyBorder="1" applyAlignment="1">
      <alignment horizontal="right" vertical="center"/>
    </xf>
    <xf fontId="24" fillId="3" borderId="0" numFmtId="0" xfId="0" applyFont="1" applyFill="1" applyAlignment="1">
      <alignment horizontal="left" vertical="center" wrapText="1"/>
    </xf>
    <xf fontId="19" fillId="3" borderId="22" numFmtId="49" xfId="0" applyNumberFormat="1" applyFont="1" applyFill="1" applyBorder="1" applyAlignment="1">
      <alignment horizontal="center" vertical="center" wrapText="1"/>
    </xf>
    <xf fontId="20" fillId="3" borderId="20" numFmtId="49" xfId="0" applyNumberFormat="1" applyFont="1" applyFill="1" applyBorder="1" applyAlignment="1">
      <alignment horizontal="center" vertical="center" wrapText="1"/>
    </xf>
    <xf fontId="6" fillId="3" borderId="23" numFmtId="49" xfId="0" applyNumberFormat="1" applyFont="1" applyFill="1" applyBorder="1" applyAlignment="1">
      <alignment horizontal="center" vertical="center" wrapText="1"/>
    </xf>
    <xf fontId="10" fillId="3" borderId="15" numFmtId="0" xfId="0" applyFont="1" applyFill="1" applyBorder="1" applyAlignment="1">
      <alignment horizontal="center" vertical="top" wrapText="1"/>
    </xf>
    <xf fontId="10" fillId="3" borderId="19" numFmtId="0" xfId="0" applyFont="1" applyFill="1" applyBorder="1" applyAlignment="1">
      <alignment horizontal="center" vertical="top" wrapText="1"/>
    </xf>
    <xf fontId="20" fillId="3" borderId="0" numFmtId="0" xfId="0" applyFont="1" applyFill="1" applyAlignment="1">
      <alignment vertical="center"/>
    </xf>
    <xf fontId="20" fillId="3" borderId="20" numFmtId="49" xfId="0" applyNumberFormat="1" applyFont="1" applyFill="1" applyBorder="1" applyAlignment="1">
      <alignment horizontal="center" vertical="top" wrapText="1"/>
    </xf>
    <xf fontId="20" fillId="3" borderId="13" numFmtId="49" xfId="0" applyNumberFormat="1" applyFont="1" applyFill="1" applyBorder="1" applyAlignment="1">
      <alignment horizontal="center" vertical="center" wrapText="1"/>
    </xf>
    <xf fontId="20" fillId="3" borderId="13" numFmtId="162" xfId="0" applyNumberFormat="1" applyFont="1" applyFill="1" applyBorder="1" applyAlignment="1">
      <alignment vertical="center" wrapText="1"/>
    </xf>
    <xf fontId="25" fillId="3" borderId="16" numFmtId="162" xfId="0" applyNumberFormat="1" applyFont="1" applyFill="1" applyBorder="1" applyAlignment="1">
      <alignment horizontal="right" vertical="center" wrapText="1"/>
    </xf>
    <xf fontId="25" fillId="3" borderId="0" numFmtId="162" xfId="0" applyNumberFormat="1" applyFont="1" applyFill="1" applyAlignment="1">
      <alignment horizontal="right" vertical="center" wrapText="1"/>
    </xf>
    <xf fontId="25" fillId="3" borderId="10" numFmtId="162" xfId="0" applyNumberFormat="1" applyFont="1" applyFill="1" applyBorder="1" applyAlignment="1">
      <alignment horizontal="right" vertical="center" wrapText="1"/>
    </xf>
    <xf fontId="19" fillId="3" borderId="18" numFmtId="0" xfId="0" applyFont="1" applyFill="1" applyBorder="1" applyAlignment="1">
      <alignment horizontal="center" vertical="center" wrapText="1"/>
    </xf>
    <xf fontId="20" fillId="3" borderId="16" numFmtId="164" xfId="0" applyNumberFormat="1" applyFont="1" applyFill="1" applyBorder="1" applyAlignment="1">
      <alignment horizontal="right" vertical="center" wrapText="1"/>
    </xf>
    <xf fontId="20" fillId="3" borderId="0" numFmtId="164" xfId="0" applyNumberFormat="1" applyFont="1" applyFill="1" applyAlignment="1">
      <alignment horizontal="right" vertical="center" wrapText="1"/>
    </xf>
    <xf fontId="20" fillId="3" borderId="10" numFmtId="164" xfId="0" applyNumberFormat="1" applyFont="1" applyFill="1" applyBorder="1" applyAlignment="1">
      <alignment horizontal="right" vertical="center" wrapText="1"/>
    </xf>
    <xf fontId="6" fillId="3" borderId="14" numFmtId="0" xfId="0" applyFont="1" applyFill="1" applyBorder="1" applyAlignment="1">
      <alignment horizontal="center" vertical="center" wrapText="1"/>
    </xf>
    <xf fontId="9" fillId="3" borderId="24" numFmtId="165" xfId="0" applyNumberFormat="1" applyFont="1" applyFill="1" applyBorder="1" applyAlignment="1">
      <alignment horizontal="left" vertical="center" wrapText="1"/>
    </xf>
    <xf fontId="11" fillId="3" borderId="18" numFmtId="164" xfId="0" applyNumberFormat="1" applyFont="1" applyFill="1" applyBorder="1" applyAlignment="1">
      <alignment horizontal="right" vertical="center" wrapText="1"/>
    </xf>
    <xf fontId="20" fillId="3" borderId="20" numFmtId="0" xfId="0" applyFont="1" applyFill="1" applyBorder="1" applyAlignment="1">
      <alignment horizontal="center" vertical="top" wrapText="1"/>
    </xf>
    <xf fontId="16" fillId="3" borderId="18" numFmtId="0" xfId="0" applyFont="1" applyFill="1" applyBorder="1" applyAlignment="1">
      <alignment vertical="center"/>
    </xf>
    <xf fontId="16" fillId="3" borderId="25" numFmtId="166" xfId="0" applyNumberFormat="1" applyFont="1" applyFill="1" applyBorder="1" applyAlignment="1">
      <alignment horizontal="center" vertical="center" wrapText="1"/>
    </xf>
    <xf fontId="16" fillId="3" borderId="26" numFmtId="166" xfId="0" applyNumberFormat="1" applyFont="1" applyFill="1" applyBorder="1" applyAlignment="1">
      <alignment horizontal="center" vertical="center" wrapText="1"/>
    </xf>
    <xf fontId="16" fillId="3" borderId="27" numFmtId="166" xfId="0" applyNumberFormat="1" applyFont="1" applyFill="1" applyBorder="1" applyAlignment="1">
      <alignment horizontal="center" vertical="center" wrapText="1"/>
    </xf>
    <xf fontId="16" fillId="3" borderId="28" numFmtId="162" xfId="0" applyNumberFormat="1" applyFont="1" applyFill="1" applyBorder="1" applyAlignment="1">
      <alignment horizontal="right" vertical="center" wrapText="1"/>
    </xf>
    <xf fontId="16" fillId="3" borderId="28" numFmtId="164" xfId="0" applyNumberFormat="1" applyFont="1" applyFill="1" applyBorder="1" applyAlignment="1">
      <alignment horizontal="right" vertical="center" wrapText="1"/>
    </xf>
    <xf fontId="16" fillId="3" borderId="29" numFmtId="164" xfId="0" applyNumberFormat="1" applyFont="1" applyFill="1" applyBorder="1" applyAlignment="1">
      <alignment horizontal="right" vertical="center" wrapText="1"/>
    </xf>
    <xf fontId="17" fillId="3" borderId="18" numFmtId="49" xfId="0" applyNumberFormat="1" applyFont="1" applyFill="1" applyBorder="1" applyAlignment="1">
      <alignment vertical="center" wrapText="1"/>
    </xf>
    <xf fontId="16" fillId="3" borderId="30" numFmtId="165" xfId="0" applyNumberFormat="1" applyFont="1" applyFill="1" applyBorder="1" applyAlignment="1">
      <alignment horizontal="center" vertical="center" wrapText="1"/>
    </xf>
    <xf fontId="16" fillId="3" borderId="31" numFmtId="165" xfId="0" applyNumberFormat="1" applyFont="1" applyFill="1" applyBorder="1" applyAlignment="1">
      <alignment horizontal="center" vertical="center" wrapText="1"/>
    </xf>
    <xf fontId="16" fillId="3" borderId="32" numFmtId="165" xfId="0" applyNumberFormat="1" applyFont="1" applyFill="1" applyBorder="1" applyAlignment="1">
      <alignment horizontal="center" vertical="center" wrapText="1"/>
    </xf>
    <xf fontId="16" fillId="3" borderId="0" numFmtId="162" xfId="0" applyNumberFormat="1" applyFont="1" applyFill="1" applyAlignment="1">
      <alignment horizontal="right" vertical="center" wrapText="1"/>
    </xf>
    <xf fontId="16" fillId="3" borderId="16" numFmtId="162" xfId="0" applyNumberFormat="1" applyFont="1" applyFill="1" applyBorder="1" applyAlignment="1">
      <alignment horizontal="right" vertical="center" wrapText="1"/>
    </xf>
    <xf fontId="16" fillId="3" borderId="16" numFmtId="164" xfId="0" applyNumberFormat="1" applyFont="1" applyFill="1" applyBorder="1" applyAlignment="1">
      <alignment horizontal="right" vertical="center" wrapText="1"/>
    </xf>
    <xf fontId="16" fillId="3" borderId="17" numFmtId="164" xfId="0" applyNumberFormat="1" applyFont="1" applyFill="1" applyBorder="1" applyAlignment="1">
      <alignment horizontal="right" vertical="center" wrapText="1"/>
    </xf>
    <xf fontId="15" fillId="3" borderId="4" numFmtId="0" xfId="0" applyFont="1" applyFill="1" applyBorder="1" applyAlignment="1">
      <alignment horizontal="center" vertical="top" wrapText="1"/>
    </xf>
    <xf fontId="26" fillId="3" borderId="0" numFmtId="162" xfId="0" applyNumberFormat="1" applyFont="1" applyFill="1" applyAlignment="1">
      <alignment vertical="center" wrapText="1"/>
    </xf>
    <xf fontId="15" fillId="3" borderId="10" numFmtId="0" xfId="0" applyFont="1" applyFill="1" applyBorder="1" applyAlignment="1">
      <alignment horizontal="center" vertical="top" wrapText="1"/>
    </xf>
    <xf fontId="26" fillId="3" borderId="10" numFmtId="162" xfId="0" applyNumberFormat="1" applyFont="1" applyFill="1" applyBorder="1" applyAlignment="1">
      <alignment vertical="center" wrapText="1"/>
    </xf>
    <xf fontId="26" fillId="3" borderId="10" numFmtId="0" xfId="0" applyFont="1" applyFill="1" applyBorder="1" applyAlignment="1">
      <alignment horizontal="left" vertical="center" wrapText="1"/>
    </xf>
    <xf fontId="26" fillId="3" borderId="0" numFmtId="0" xfId="0" applyFont="1" applyFill="1" applyAlignment="1">
      <alignment horizontal="left" vertical="center" wrapText="1"/>
    </xf>
    <xf fontId="11" fillId="3" borderId="10" numFmtId="164" xfId="0" applyNumberFormat="1" applyFont="1" applyFill="1" applyBorder="1" applyAlignment="1">
      <alignment horizontal="right" vertical="center" wrapText="1"/>
    </xf>
    <xf fontId="26" fillId="3" borderId="0" numFmtId="0" xfId="0" applyFont="1" applyFill="1" applyAlignment="1">
      <alignment horizontal="left" vertical="top" wrapText="1"/>
    </xf>
    <xf fontId="10" fillId="3" borderId="10" numFmtId="164" xfId="0" applyNumberFormat="1" applyFont="1" applyFill="1" applyBorder="1" applyAlignment="1">
      <alignment vertical="center" wrapText="1"/>
    </xf>
    <xf fontId="26" fillId="3" borderId="10" numFmtId="165" xfId="0" applyNumberFormat="1" applyFont="1" applyFill="1" applyBorder="1" applyAlignment="1">
      <alignment vertical="center" wrapText="1"/>
    </xf>
    <xf fontId="9" fillId="3" borderId="33" numFmtId="162" xfId="0" applyNumberFormat="1" applyFont="1" applyFill="1" applyBorder="1" applyAlignment="1">
      <alignment horizontal="right" vertical="center" wrapText="1"/>
    </xf>
    <xf fontId="26" fillId="3" borderId="0" numFmtId="165" xfId="0" applyNumberFormat="1" applyFont="1" applyFill="1" applyAlignment="1">
      <alignment vertical="center" wrapText="1"/>
    </xf>
    <xf fontId="17" fillId="3" borderId="10" numFmtId="0" xfId="0" applyFont="1" applyFill="1" applyBorder="1" applyAlignment="1">
      <alignment vertical="center"/>
    </xf>
    <xf fontId="6" fillId="3" borderId="0" numFmtId="166" xfId="0" applyNumberFormat="1" applyFont="1" applyFill="1" applyAlignment="1">
      <alignment horizontal="left" vertical="center"/>
    </xf>
    <xf fontId="11" fillId="3" borderId="0" numFmtId="167" xfId="0" applyNumberFormat="1" applyFont="1" applyFill="1" applyAlignment="1">
      <alignment horizontal="left" vertical="top"/>
    </xf>
    <xf fontId="5" fillId="3" borderId="0" numFmtId="0" xfId="0" applyFont="1" applyFill="1" applyAlignment="1">
      <alignment horizontal="left" vertical="center"/>
    </xf>
    <xf fontId="9" fillId="3" borderId="0" numFmtId="162" xfId="0" applyNumberFormat="1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  <xf fontId="6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min="19" max="40" style="1" width="9.140625"/>
    <col min="41" max="16384" style="1" width="9.140625"/>
  </cols>
  <sheetData>
    <row r="1" ht="17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</row>
    <row r="2" ht="15">
      <c r="A2" s="10"/>
      <c r="B2" s="11"/>
      <c r="C2" s="12"/>
      <c r="D2" s="9"/>
      <c r="E2" s="13"/>
      <c r="F2" s="9"/>
      <c r="G2" s="9"/>
      <c r="H2" s="13"/>
      <c r="I2" s="14"/>
      <c r="J2" s="15"/>
      <c r="K2" s="15"/>
      <c r="L2" s="15"/>
      <c r="M2" s="9"/>
      <c r="N2" s="9"/>
      <c r="O2" s="9"/>
      <c r="P2" s="16"/>
      <c r="Q2" s="16"/>
      <c r="R2" s="17" t="s">
        <v>1</v>
      </c>
      <c r="S2" s="1"/>
      <c r="T2" s="1"/>
      <c r="U2" s="1"/>
      <c r="V2" s="1"/>
      <c r="W2" s="1"/>
      <c r="X2" s="1"/>
      <c r="Y2" s="1"/>
      <c r="Z2" s="1"/>
    </row>
    <row r="3" s="18" customFormat="1" ht="15">
      <c r="A3" s="19" t="s">
        <v>2</v>
      </c>
      <c r="B3" s="20" t="s">
        <v>3</v>
      </c>
      <c r="C3" s="21" t="s">
        <v>4</v>
      </c>
      <c r="D3" s="22" t="s">
        <v>5</v>
      </c>
      <c r="E3" s="23" t="s">
        <v>6</v>
      </c>
      <c r="F3" s="24" t="s">
        <v>7</v>
      </c>
      <c r="G3" s="25"/>
      <c r="H3" s="26"/>
      <c r="I3" s="27" t="s">
        <v>8</v>
      </c>
      <c r="J3" s="28"/>
      <c r="K3" s="24" t="s">
        <v>9</v>
      </c>
      <c r="L3" s="25"/>
      <c r="M3" s="25"/>
      <c r="N3" s="26"/>
      <c r="O3" s="29" t="s">
        <v>10</v>
      </c>
      <c r="P3" s="30" t="s">
        <v>11</v>
      </c>
      <c r="Q3" s="30" t="s">
        <v>12</v>
      </c>
      <c r="R3" s="29" t="s">
        <v>13</v>
      </c>
      <c r="S3" s="18"/>
      <c r="T3" s="18"/>
      <c r="U3" s="18"/>
      <c r="V3" s="18"/>
      <c r="W3" s="18"/>
      <c r="X3" s="18"/>
      <c r="Y3" s="18"/>
      <c r="Z3" s="18"/>
    </row>
    <row r="4" s="18" customFormat="1" ht="66.75" customHeight="1">
      <c r="A4" s="31"/>
      <c r="B4" s="32"/>
      <c r="C4" s="33"/>
      <c r="D4" s="34"/>
      <c r="E4" s="35"/>
      <c r="F4" s="36" t="s">
        <v>14</v>
      </c>
      <c r="G4" s="37" t="s">
        <v>15</v>
      </c>
      <c r="H4" s="36" t="s">
        <v>16</v>
      </c>
      <c r="I4" s="38" t="s">
        <v>17</v>
      </c>
      <c r="J4" s="39" t="s">
        <v>16</v>
      </c>
      <c r="K4" s="40" t="s">
        <v>18</v>
      </c>
      <c r="L4" s="41" t="s">
        <v>19</v>
      </c>
      <c r="M4" s="40" t="s">
        <v>20</v>
      </c>
      <c r="N4" s="41" t="s">
        <v>21</v>
      </c>
      <c r="O4" s="42"/>
      <c r="P4" s="43"/>
      <c r="Q4" s="43"/>
      <c r="R4" s="42"/>
      <c r="S4" s="18"/>
      <c r="T4" s="18"/>
      <c r="U4" s="18"/>
      <c r="V4" s="18"/>
      <c r="W4" s="18"/>
      <c r="X4" s="18"/>
      <c r="Y4" s="18"/>
      <c r="Z4" s="18"/>
    </row>
    <row r="5" s="44" customFormat="1" ht="26.25" customHeight="1">
      <c r="A5" s="45"/>
      <c r="B5" s="46" t="s">
        <v>22</v>
      </c>
      <c r="C5" s="47"/>
      <c r="D5" s="48"/>
      <c r="E5" s="49">
        <f>SUM(E6:E16)</f>
        <v>11927062.111343283</v>
      </c>
      <c r="F5" s="50">
        <f>SUM(F6:F16)</f>
        <v>28065221.000000007</v>
      </c>
      <c r="G5" s="49">
        <f>SUM(G6:G16)</f>
        <v>13999575.4</v>
      </c>
      <c r="H5" s="50">
        <f>SUM(H6:H16)</f>
        <v>3855845.3999999999</v>
      </c>
      <c r="I5" s="49">
        <f>SUM(I6:I16)</f>
        <v>13378065.830000002</v>
      </c>
      <c r="J5" s="50">
        <f>SUM(J6:J16)</f>
        <v>3189221.5099999998</v>
      </c>
      <c r="K5" s="49">
        <f>SUM(K6:K16)</f>
        <v>1451003.718656715</v>
      </c>
      <c r="L5" s="50">
        <f>SUM(L6:L16)</f>
        <v>-621509.56999999913</v>
      </c>
      <c r="M5" s="49">
        <f>SUM(M6:M16)</f>
        <v>-14687155.170000006</v>
      </c>
      <c r="N5" s="50">
        <f>SUM(N6:N16)</f>
        <v>-666623.89000000001</v>
      </c>
      <c r="O5" s="51">
        <f t="shared" ref="O5:O9" si="0">IFERROR(I5/E5,"")</f>
        <v>1.1216564234436857</v>
      </c>
      <c r="P5" s="52">
        <f t="shared" ref="P5:P9" si="1">IFERROR(J5/H5,"")</f>
        <v>0.82711342887347084</v>
      </c>
      <c r="Q5" s="51">
        <f t="shared" ref="Q5:Q9" si="2">IFERROR(I5/G5,"")</f>
        <v>0.9556051128522085</v>
      </c>
      <c r="R5" s="52">
        <f t="shared" ref="R5:R9" si="3">IFERROR(I5/F5,"")</f>
        <v>0.47667772970681394</v>
      </c>
      <c r="S5" s="44"/>
      <c r="T5" s="44"/>
      <c r="U5" s="44"/>
      <c r="V5" s="44"/>
      <c r="W5" s="44"/>
      <c r="X5" s="44"/>
      <c r="Y5" s="44"/>
      <c r="Z5" s="44"/>
    </row>
    <row r="6" ht="17.25">
      <c r="A6" s="53"/>
      <c r="B6" s="54" t="s">
        <v>23</v>
      </c>
      <c r="C6" s="55" t="s">
        <v>24</v>
      </c>
      <c r="D6" s="56" t="s">
        <v>25</v>
      </c>
      <c r="E6" s="57">
        <v>9051289.531343285</v>
      </c>
      <c r="F6" s="58">
        <v>21478832.200000003</v>
      </c>
      <c r="G6" s="57">
        <f>10742601.7-100000</f>
        <v>10642601.699999999</v>
      </c>
      <c r="H6" s="58">
        <f>3103492.3-100000</f>
        <v>3003492.2999999998</v>
      </c>
      <c r="I6" s="57">
        <v>9955908.0800000001</v>
      </c>
      <c r="J6" s="58">
        <v>2316798.6299999999</v>
      </c>
      <c r="K6" s="57">
        <f t="shared" ref="K6:K9" si="4">I6-E6</f>
        <v>904618.54865671508</v>
      </c>
      <c r="L6" s="58">
        <f t="shared" ref="L6:L9" si="5">I6-G6</f>
        <v>-686693.61999999918</v>
      </c>
      <c r="M6" s="57">
        <f t="shared" ref="M6:M9" si="6">I6-F6</f>
        <v>-11522924.120000003</v>
      </c>
      <c r="N6" s="59">
        <f t="shared" ref="N6:N9" si="7">J6-H6</f>
        <v>-686693.66999999993</v>
      </c>
      <c r="O6" s="60">
        <f t="shared" si="0"/>
        <v>1.0999436097502078</v>
      </c>
      <c r="P6" s="61">
        <f t="shared" si="1"/>
        <v>0.77136826020829152</v>
      </c>
      <c r="Q6" s="60">
        <f t="shared" si="2"/>
        <v>0.93547690317114851</v>
      </c>
      <c r="R6" s="60">
        <f t="shared" si="3"/>
        <v>0.46352185199342444</v>
      </c>
      <c r="S6" s="1"/>
      <c r="T6" s="1"/>
      <c r="U6" s="1"/>
      <c r="V6" s="1"/>
      <c r="W6" s="1"/>
      <c r="X6" s="1"/>
      <c r="Y6" s="1"/>
      <c r="Z6" s="1"/>
    </row>
    <row r="7" ht="17.25">
      <c r="A7" s="62"/>
      <c r="B7" s="54" t="s">
        <v>26</v>
      </c>
      <c r="C7" s="63" t="s">
        <v>27</v>
      </c>
      <c r="D7" s="64" t="s">
        <v>28</v>
      </c>
      <c r="E7" s="65">
        <v>47057.769999999997</v>
      </c>
      <c r="F7" s="65">
        <v>82008.100000000006</v>
      </c>
      <c r="G7" s="66">
        <v>46638.5</v>
      </c>
      <c r="H7" s="65">
        <v>7227</v>
      </c>
      <c r="I7" s="66">
        <v>48425.049999999996</v>
      </c>
      <c r="J7" s="65">
        <v>14023.24</v>
      </c>
      <c r="K7" s="66">
        <f t="shared" si="4"/>
        <v>1367.2799999999988</v>
      </c>
      <c r="L7" s="65">
        <f t="shared" si="5"/>
        <v>1786.5499999999956</v>
      </c>
      <c r="M7" s="66">
        <f t="shared" si="6"/>
        <v>-33583.05000000001</v>
      </c>
      <c r="N7" s="65">
        <f t="shared" si="7"/>
        <v>6796.2399999999998</v>
      </c>
      <c r="O7" s="61">
        <f t="shared" si="0"/>
        <v>1.0290553504766589</v>
      </c>
      <c r="P7" s="60">
        <f t="shared" si="1"/>
        <v>1.9403957382039574</v>
      </c>
      <c r="Q7" s="61">
        <f t="shared" si="2"/>
        <v>1.0383063348949901</v>
      </c>
      <c r="R7" s="60">
        <f t="shared" si="3"/>
        <v>0.59049106124882778</v>
      </c>
      <c r="S7" s="1"/>
      <c r="T7" s="1"/>
      <c r="U7" s="1"/>
      <c r="V7" s="1"/>
      <c r="W7" s="1"/>
      <c r="X7" s="1"/>
      <c r="Y7" s="1"/>
      <c r="Z7" s="1"/>
    </row>
    <row r="8" ht="17.25">
      <c r="A8" s="62"/>
      <c r="B8" s="54" t="s">
        <v>23</v>
      </c>
      <c r="C8" s="55" t="s">
        <v>29</v>
      </c>
      <c r="D8" s="56" t="s">
        <v>30</v>
      </c>
      <c r="E8" s="66">
        <v>0</v>
      </c>
      <c r="F8" s="65">
        <v>52994.300000000003</v>
      </c>
      <c r="G8" s="65">
        <v>32497.099999999999</v>
      </c>
      <c r="H8" s="66">
        <v>20497.099999999999</v>
      </c>
      <c r="I8" s="65">
        <v>18246.469999999998</v>
      </c>
      <c r="J8" s="66">
        <v>9744.4799999999996</v>
      </c>
      <c r="K8" s="65">
        <f t="shared" si="4"/>
        <v>18246.469999999998</v>
      </c>
      <c r="L8" s="66">
        <f t="shared" si="5"/>
        <v>-14250.630000000001</v>
      </c>
      <c r="M8" s="65">
        <f t="shared" si="6"/>
        <v>-34747.830000000002</v>
      </c>
      <c r="N8" s="66">
        <f t="shared" si="7"/>
        <v>-10752.619999999999</v>
      </c>
      <c r="O8" s="60" t="str">
        <f t="shared" si="0"/>
        <v/>
      </c>
      <c r="P8" s="61">
        <f t="shared" si="1"/>
        <v>0.47540774060720786</v>
      </c>
      <c r="Q8" s="60">
        <f t="shared" si="2"/>
        <v>0.56147994744146401</v>
      </c>
      <c r="R8" s="60">
        <f t="shared" si="3"/>
        <v>0.34431004843917168</v>
      </c>
      <c r="S8" s="1"/>
      <c r="T8" s="1"/>
      <c r="U8" s="1"/>
      <c r="V8" s="1"/>
      <c r="W8" s="1"/>
      <c r="X8" s="1"/>
      <c r="Y8" s="1"/>
      <c r="Z8" s="1"/>
    </row>
    <row r="9" ht="17.25">
      <c r="A9" s="62"/>
      <c r="B9" s="54" t="s">
        <v>23</v>
      </c>
      <c r="C9" s="63" t="s">
        <v>31</v>
      </c>
      <c r="D9" s="64" t="s">
        <v>32</v>
      </c>
      <c r="E9" s="65">
        <v>844869.93999999994</v>
      </c>
      <c r="F9" s="66">
        <v>1259409.1000000001</v>
      </c>
      <c r="G9" s="65">
        <v>911774.39999999991</v>
      </c>
      <c r="H9" s="65">
        <v>227925</v>
      </c>
      <c r="I9" s="66">
        <v>898846.30999999994</v>
      </c>
      <c r="J9" s="65">
        <v>227529.74000000002</v>
      </c>
      <c r="K9" s="66">
        <f t="shared" si="4"/>
        <v>53976.369999999995</v>
      </c>
      <c r="L9" s="65">
        <f t="shared" si="5"/>
        <v>-12928.089999999967</v>
      </c>
      <c r="M9" s="66">
        <f t="shared" si="6"/>
        <v>-360562.79000000015</v>
      </c>
      <c r="N9" s="65">
        <f t="shared" si="7"/>
        <v>-395.25999999998021</v>
      </c>
      <c r="O9" s="61">
        <f t="shared" si="0"/>
        <v>1.0638871942822348</v>
      </c>
      <c r="P9" s="60">
        <f t="shared" si="1"/>
        <v>0.99826583305912042</v>
      </c>
      <c r="Q9" s="61">
        <f t="shared" si="2"/>
        <v>0.98582095527139169</v>
      </c>
      <c r="R9" s="60">
        <f t="shared" si="3"/>
        <v>0.71370479219183014</v>
      </c>
      <c r="S9" s="1"/>
      <c r="T9" s="1"/>
      <c r="U9" s="1"/>
      <c r="V9" s="1"/>
      <c r="W9" s="1"/>
      <c r="X9" s="1"/>
      <c r="Y9" s="1"/>
      <c r="Z9" s="1"/>
    </row>
    <row r="10" ht="17.25">
      <c r="A10" s="62"/>
      <c r="B10" s="54" t="s">
        <v>23</v>
      </c>
      <c r="C10" s="55" t="s">
        <v>33</v>
      </c>
      <c r="D10" s="56" t="s">
        <v>34</v>
      </c>
      <c r="E10" s="66">
        <v>564.63</v>
      </c>
      <c r="F10" s="65">
        <v>0</v>
      </c>
      <c r="G10" s="66">
        <v>0</v>
      </c>
      <c r="H10" s="65">
        <v>0</v>
      </c>
      <c r="I10" s="65">
        <v>221.74000000000001</v>
      </c>
      <c r="J10" s="66">
        <v>43.439999999999998</v>
      </c>
      <c r="K10" s="65">
        <f t="shared" ref="K10:K45" si="8">I10-E10</f>
        <v>-342.88999999999999</v>
      </c>
      <c r="L10" s="66">
        <f t="shared" ref="L10:L73" si="9">I10-G10</f>
        <v>221.74000000000001</v>
      </c>
      <c r="M10" s="65">
        <f t="shared" ref="M10:M45" si="10">I10-F10</f>
        <v>221.74000000000001</v>
      </c>
      <c r="N10" s="66">
        <f t="shared" ref="N10:N45" si="11">J10-H10</f>
        <v>43.439999999999998</v>
      </c>
      <c r="O10" s="60">
        <f t="shared" ref="O10:O73" si="12">IFERROR(I10/E10,"")</f>
        <v>0.39271735472787489</v>
      </c>
      <c r="P10" s="61" t="str">
        <f t="shared" ref="P10:P73" si="13">IFERROR(J10/H10,"")</f>
        <v/>
      </c>
      <c r="Q10" s="60" t="str">
        <f t="shared" ref="Q10:Q73" si="14">IFERROR(I10/G10,"")</f>
        <v/>
      </c>
      <c r="R10" s="60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2"/>
      <c r="B11" s="54" t="s">
        <v>23</v>
      </c>
      <c r="C11" s="63" t="s">
        <v>35</v>
      </c>
      <c r="D11" s="64" t="s">
        <v>36</v>
      </c>
      <c r="E11" s="65">
        <v>1295.3900000000001</v>
      </c>
      <c r="F11" s="66">
        <v>1208.9000000000001</v>
      </c>
      <c r="G11" s="65">
        <v>1142.9000000000001</v>
      </c>
      <c r="H11" s="66">
        <v>243</v>
      </c>
      <c r="I11" s="65">
        <v>1188.27</v>
      </c>
      <c r="J11" s="65">
        <v>85.760000000000005</v>
      </c>
      <c r="K11" s="66">
        <f t="shared" si="8"/>
        <v>-107.12000000000012</v>
      </c>
      <c r="L11" s="65">
        <f t="shared" si="9"/>
        <v>45.369999999999891</v>
      </c>
      <c r="M11" s="66">
        <f t="shared" si="10"/>
        <v>-20.630000000000109</v>
      </c>
      <c r="N11" s="65">
        <f t="shared" si="11"/>
        <v>-157.24000000000001</v>
      </c>
      <c r="O11" s="61">
        <f t="shared" si="12"/>
        <v>0.91730675703842079</v>
      </c>
      <c r="P11" s="60">
        <f t="shared" si="13"/>
        <v>0.3529218106995885</v>
      </c>
      <c r="Q11" s="61">
        <f t="shared" si="14"/>
        <v>1.0396972613526991</v>
      </c>
      <c r="R11" s="60">
        <f t="shared" si="15"/>
        <v>0.98293489949540891</v>
      </c>
      <c r="S11" s="1"/>
      <c r="T11" s="1"/>
      <c r="U11" s="1"/>
      <c r="V11" s="1"/>
      <c r="W11" s="1"/>
      <c r="X11" s="1"/>
      <c r="Y11" s="1"/>
      <c r="Z11" s="1"/>
    </row>
    <row r="12" ht="17.25">
      <c r="A12" s="62"/>
      <c r="B12" s="54" t="s">
        <v>23</v>
      </c>
      <c r="C12" s="55" t="s">
        <v>37</v>
      </c>
      <c r="D12" s="56" t="s">
        <v>38</v>
      </c>
      <c r="E12" s="66">
        <v>310916.60999999999</v>
      </c>
      <c r="F12" s="65">
        <v>615839.40000000002</v>
      </c>
      <c r="G12" s="66">
        <v>329592.29999999999</v>
      </c>
      <c r="H12" s="65">
        <v>16000</v>
      </c>
      <c r="I12" s="65">
        <v>335437.69</v>
      </c>
      <c r="J12" s="66">
        <v>9324.0699999999997</v>
      </c>
      <c r="K12" s="65">
        <f t="shared" si="8"/>
        <v>24521.080000000016</v>
      </c>
      <c r="L12" s="66">
        <f t="shared" si="9"/>
        <v>5845.390000000014</v>
      </c>
      <c r="M12" s="65">
        <f t="shared" si="10"/>
        <v>-280401.71000000002</v>
      </c>
      <c r="N12" s="66">
        <f t="shared" si="11"/>
        <v>-6675.9300000000003</v>
      </c>
      <c r="O12" s="60">
        <f t="shared" si="12"/>
        <v>1.0788670634225686</v>
      </c>
      <c r="P12" s="61">
        <f t="shared" si="13"/>
        <v>0.58275437499999994</v>
      </c>
      <c r="Q12" s="60">
        <f t="shared" si="14"/>
        <v>1.0177352140811542</v>
      </c>
      <c r="R12" s="60">
        <f t="shared" si="15"/>
        <v>0.54468371137020466</v>
      </c>
      <c r="S12" s="1"/>
      <c r="T12" s="1"/>
      <c r="U12" s="1"/>
      <c r="V12" s="1"/>
      <c r="W12" s="1"/>
      <c r="X12" s="1"/>
      <c r="Y12" s="1"/>
      <c r="Z12" s="1"/>
    </row>
    <row r="13" ht="17.25">
      <c r="A13" s="62"/>
      <c r="B13" s="54" t="s">
        <v>39</v>
      </c>
      <c r="C13" s="63" t="s">
        <v>40</v>
      </c>
      <c r="D13" s="64" t="s">
        <v>41</v>
      </c>
      <c r="E13" s="65">
        <v>68043.869999999995</v>
      </c>
      <c r="F13" s="66">
        <v>1486170.1000000001</v>
      </c>
      <c r="G13" s="65">
        <v>71400</v>
      </c>
      <c r="H13" s="66">
        <v>5000</v>
      </c>
      <c r="I13" s="65">
        <v>84172.189999999988</v>
      </c>
      <c r="J13" s="65">
        <v>6540.7000000000007</v>
      </c>
      <c r="K13" s="66">
        <f t="shared" si="8"/>
        <v>16128.319999999992</v>
      </c>
      <c r="L13" s="65">
        <f t="shared" si="9"/>
        <v>12772.189999999988</v>
      </c>
      <c r="M13" s="66">
        <f t="shared" si="10"/>
        <v>-1401997.9100000001</v>
      </c>
      <c r="N13" s="65">
        <f t="shared" si="11"/>
        <v>1540.7000000000007</v>
      </c>
      <c r="O13" s="61">
        <f t="shared" si="12"/>
        <v>1.2370282583868317</v>
      </c>
      <c r="P13" s="60">
        <f t="shared" si="13"/>
        <v>1.3081400000000001</v>
      </c>
      <c r="Q13" s="61">
        <f t="shared" si="14"/>
        <v>1.1788822128851539</v>
      </c>
      <c r="R13" s="60">
        <f t="shared" si="15"/>
        <v>0.056636982536521212</v>
      </c>
      <c r="S13" s="1"/>
      <c r="T13" s="1"/>
      <c r="U13" s="1"/>
      <c r="V13" s="1"/>
      <c r="W13" s="1"/>
      <c r="X13" s="1"/>
      <c r="Y13" s="1"/>
      <c r="Z13" s="1"/>
    </row>
    <row r="14" ht="17.25">
      <c r="A14" s="62"/>
      <c r="B14" s="54" t="s">
        <v>39</v>
      </c>
      <c r="C14" s="55" t="s">
        <v>42</v>
      </c>
      <c r="D14" s="56" t="s">
        <v>43</v>
      </c>
      <c r="E14" s="66">
        <v>1469188.9299999999</v>
      </c>
      <c r="F14" s="65">
        <v>2439929.7999999998</v>
      </c>
      <c r="G14" s="66">
        <v>1596886</v>
      </c>
      <c r="H14" s="65">
        <v>522162</v>
      </c>
      <c r="I14" s="65">
        <v>1658394.46</v>
      </c>
      <c r="J14" s="66">
        <v>544124.42000000004</v>
      </c>
      <c r="K14" s="65">
        <f t="shared" si="8"/>
        <v>189205.53000000003</v>
      </c>
      <c r="L14" s="66">
        <f t="shared" si="9"/>
        <v>61508.459999999963</v>
      </c>
      <c r="M14" s="65">
        <f t="shared" si="10"/>
        <v>-781535.33999999985</v>
      </c>
      <c r="N14" s="67">
        <f t="shared" si="11"/>
        <v>21962.420000000042</v>
      </c>
      <c r="O14" s="60">
        <f t="shared" si="12"/>
        <v>1.1287823003131394</v>
      </c>
      <c r="P14" s="61">
        <f t="shared" si="13"/>
        <v>1.0420605482589695</v>
      </c>
      <c r="Q14" s="60">
        <f t="shared" si="14"/>
        <v>1.038517752676146</v>
      </c>
      <c r="R14" s="60">
        <f t="shared" si="15"/>
        <v>0.67968941565449958</v>
      </c>
      <c r="S14" s="1"/>
      <c r="T14" s="1"/>
      <c r="U14" s="1"/>
      <c r="V14" s="1"/>
      <c r="W14" s="1"/>
      <c r="X14" s="1"/>
      <c r="Y14" s="1"/>
      <c r="Z14" s="1"/>
    </row>
    <row r="15" ht="17.25">
      <c r="A15" s="62"/>
      <c r="B15" s="54"/>
      <c r="C15" s="63" t="s">
        <v>44</v>
      </c>
      <c r="D15" s="64" t="s">
        <v>45</v>
      </c>
      <c r="E15" s="65">
        <v>133835.44</v>
      </c>
      <c r="F15" s="66">
        <v>648829.10000000009</v>
      </c>
      <c r="G15" s="65">
        <v>367042.5</v>
      </c>
      <c r="H15" s="66">
        <v>53299</v>
      </c>
      <c r="I15" s="65">
        <v>377225.57000000001</v>
      </c>
      <c r="J15" s="65">
        <v>61007.029999999999</v>
      </c>
      <c r="K15" s="66">
        <f t="shared" si="8"/>
        <v>243390.13</v>
      </c>
      <c r="L15" s="65">
        <f t="shared" si="9"/>
        <v>10183.070000000007</v>
      </c>
      <c r="M15" s="66">
        <f t="shared" si="10"/>
        <v>-271603.53000000009</v>
      </c>
      <c r="N15" s="68">
        <f t="shared" si="11"/>
        <v>7708.0299999999988</v>
      </c>
      <c r="O15" s="61">
        <f t="shared" si="12"/>
        <v>2.8185775755659339</v>
      </c>
      <c r="P15" s="60">
        <f t="shared" si="13"/>
        <v>1.1446186607628661</v>
      </c>
      <c r="Q15" s="61">
        <f t="shared" si="14"/>
        <v>1.0277435719296812</v>
      </c>
      <c r="R15" s="60">
        <f t="shared" si="15"/>
        <v>0.58139434559886405</v>
      </c>
      <c r="S15" s="1"/>
      <c r="T15" s="1"/>
      <c r="U15" s="1"/>
      <c r="V15" s="1"/>
      <c r="W15" s="1"/>
      <c r="X15" s="1"/>
      <c r="Y15" s="1"/>
      <c r="Z15" s="1"/>
    </row>
    <row r="16" ht="17.25" hidden="1">
      <c r="A16" s="62"/>
      <c r="B16" s="54" t="s">
        <v>39</v>
      </c>
      <c r="C16" s="55" t="s">
        <v>46</v>
      </c>
      <c r="D16" s="56" t="s">
        <v>47</v>
      </c>
      <c r="E16" s="66">
        <v>0</v>
      </c>
      <c r="F16" s="65">
        <v>0</v>
      </c>
      <c r="G16" s="66">
        <v>0</v>
      </c>
      <c r="H16" s="65">
        <v>0</v>
      </c>
      <c r="I16" s="66">
        <v>0</v>
      </c>
      <c r="J16" s="65">
        <v>0</v>
      </c>
      <c r="K16" s="65">
        <f t="shared" si="8"/>
        <v>0</v>
      </c>
      <c r="L16" s="66">
        <f t="shared" si="9"/>
        <v>0</v>
      </c>
      <c r="M16" s="65">
        <f t="shared" si="10"/>
        <v>0</v>
      </c>
      <c r="N16" s="66">
        <f t="shared" si="11"/>
        <v>0</v>
      </c>
      <c r="O16" s="60" t="str">
        <f t="shared" si="12"/>
        <v/>
      </c>
      <c r="P16" s="61" t="str">
        <f t="shared" si="13"/>
        <v/>
      </c>
      <c r="Q16" s="60" t="str">
        <f t="shared" si="14"/>
        <v/>
      </c>
      <c r="R16" s="60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4" customFormat="1" ht="27.75" customHeight="1">
      <c r="A17" s="69" t="s">
        <v>48</v>
      </c>
      <c r="B17" s="70"/>
      <c r="C17" s="70"/>
      <c r="D17" s="71"/>
      <c r="E17" s="72">
        <f>E21+E24+E33+E46+E51+E54+E57+E66</f>
        <v>4658244.0999999987</v>
      </c>
      <c r="F17" s="72">
        <f>F21+F24+F33+F46+F51+F54+F57+F66</f>
        <v>7828488.9699999997</v>
      </c>
      <c r="G17" s="72">
        <f>G21+G24+G33+G46+G51+G54+G57+G66</f>
        <v>4297490.9699999997</v>
      </c>
      <c r="H17" s="72">
        <f>H21+H24+H33+H46+H51+H54+H57+H66</f>
        <v>798899.96999999997</v>
      </c>
      <c r="I17" s="72">
        <f>I21+I24+I33+I46+I51+I54+I57+I66</f>
        <v>4415293.8099999996</v>
      </c>
      <c r="J17" s="72">
        <f>J21+J24+J33+J46+J51+J54+J57+J66</f>
        <v>636698.62999999989</v>
      </c>
      <c r="K17" s="72">
        <f t="shared" si="8"/>
        <v>-242950.28999999911</v>
      </c>
      <c r="L17" s="72">
        <f t="shared" si="9"/>
        <v>117802.83999999985</v>
      </c>
      <c r="M17" s="72">
        <f t="shared" si="10"/>
        <v>-3413195.1600000001</v>
      </c>
      <c r="N17" s="72">
        <f t="shared" si="11"/>
        <v>-162201.34000000008</v>
      </c>
      <c r="O17" s="73">
        <f t="shared" si="12"/>
        <v>0.94784509253175475</v>
      </c>
      <c r="P17" s="73">
        <f t="shared" si="13"/>
        <v>0.79696914996754842</v>
      </c>
      <c r="Q17" s="73">
        <f t="shared" si="14"/>
        <v>1.0274120040792081</v>
      </c>
      <c r="R17" s="73">
        <f t="shared" si="15"/>
        <v>0.56400332515254215</v>
      </c>
      <c r="S17" s="44"/>
      <c r="T17" s="44"/>
      <c r="U17" s="44"/>
      <c r="V17" s="44"/>
      <c r="W17" s="44"/>
      <c r="X17" s="44"/>
      <c r="Y17" s="44"/>
      <c r="Z17" s="44"/>
    </row>
    <row r="18" ht="18" customHeight="1">
      <c r="A18" s="74" t="s">
        <v>49</v>
      </c>
      <c r="B18" s="75" t="s">
        <v>26</v>
      </c>
      <c r="C18" s="76" t="s">
        <v>50</v>
      </c>
      <c r="D18" s="77" t="s">
        <v>51</v>
      </c>
      <c r="E18" s="58">
        <v>129461.52</v>
      </c>
      <c r="F18" s="78">
        <v>261278.39999999999</v>
      </c>
      <c r="G18" s="58">
        <v>147947.20000000001</v>
      </c>
      <c r="H18" s="78">
        <v>22724.599999999999</v>
      </c>
      <c r="I18" s="58">
        <v>161345.09</v>
      </c>
      <c r="J18" s="78">
        <v>26528.970000000001</v>
      </c>
      <c r="K18" s="58">
        <f t="shared" si="8"/>
        <v>31883.569999999992</v>
      </c>
      <c r="L18" s="78">
        <f t="shared" si="9"/>
        <v>13397.889999999985</v>
      </c>
      <c r="M18" s="78">
        <f t="shared" si="10"/>
        <v>-99933.309999999998</v>
      </c>
      <c r="N18" s="59">
        <f t="shared" si="11"/>
        <v>3804.3700000000026</v>
      </c>
      <c r="O18" s="79">
        <f t="shared" si="12"/>
        <v>1.2462783535988144</v>
      </c>
      <c r="P18" s="61">
        <f t="shared" si="13"/>
        <v>1.1674119676473955</v>
      </c>
      <c r="Q18" s="79">
        <f t="shared" si="14"/>
        <v>1.0905585911730671</v>
      </c>
      <c r="R18" s="80">
        <f t="shared" si="15"/>
        <v>0.61752173160888923</v>
      </c>
      <c r="S18" s="1"/>
      <c r="T18" s="1"/>
      <c r="U18" s="1"/>
      <c r="V18" s="1"/>
      <c r="W18" s="1"/>
      <c r="X18" s="1"/>
      <c r="Y18" s="1"/>
      <c r="Z18" s="1"/>
    </row>
    <row r="19" ht="17.25">
      <c r="A19" s="81"/>
      <c r="B19" s="82"/>
      <c r="C19" s="63" t="s">
        <v>52</v>
      </c>
      <c r="D19" s="83" t="s">
        <v>53</v>
      </c>
      <c r="E19" s="57">
        <v>4074.3499999999999</v>
      </c>
      <c r="F19" s="58">
        <v>3515.5999999999999</v>
      </c>
      <c r="G19" s="57">
        <v>3515.5999999999999</v>
      </c>
      <c r="H19" s="58">
        <v>0</v>
      </c>
      <c r="I19" s="57">
        <v>647</v>
      </c>
      <c r="J19" s="58">
        <v>0</v>
      </c>
      <c r="K19" s="57">
        <f t="shared" si="8"/>
        <v>-3427.3499999999999</v>
      </c>
      <c r="L19" s="58">
        <f t="shared" si="9"/>
        <v>-2868.5999999999999</v>
      </c>
      <c r="M19" s="57">
        <f t="shared" si="10"/>
        <v>-2868.5999999999999</v>
      </c>
      <c r="N19" s="84">
        <f t="shared" si="11"/>
        <v>0</v>
      </c>
      <c r="O19" s="61">
        <f t="shared" si="12"/>
        <v>0.15879833593088469</v>
      </c>
      <c r="P19" s="60" t="str">
        <f t="shared" si="13"/>
        <v/>
      </c>
      <c r="Q19" s="61">
        <f t="shared" si="14"/>
        <v>0.18403686426214588</v>
      </c>
      <c r="R19" s="85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81"/>
      <c r="B20" s="82"/>
      <c r="C20" s="55" t="s">
        <v>54</v>
      </c>
      <c r="D20" s="86" t="s">
        <v>55</v>
      </c>
      <c r="E20" s="58">
        <v>84865.660000000003</v>
      </c>
      <c r="F20" s="57">
        <f>181842.6+58512.3</f>
        <v>240354.90000000002</v>
      </c>
      <c r="G20" s="58">
        <f>105514.6+20512.3</f>
        <v>126026.90000000001</v>
      </c>
      <c r="H20" s="57">
        <f>15328+20512.3</f>
        <v>35840.300000000003</v>
      </c>
      <c r="I20" s="58">
        <v>141455.10000000001</v>
      </c>
      <c r="J20" s="57">
        <v>23195.880000000001</v>
      </c>
      <c r="K20" s="58">
        <f t="shared" si="8"/>
        <v>56589.440000000002</v>
      </c>
      <c r="L20" s="57">
        <f t="shared" si="9"/>
        <v>15428.199999999997</v>
      </c>
      <c r="M20" s="58">
        <f t="shared" si="10"/>
        <v>-98899.800000000017</v>
      </c>
      <c r="N20" s="84">
        <f t="shared" si="11"/>
        <v>-12644.420000000002</v>
      </c>
      <c r="O20" s="60">
        <f t="shared" si="12"/>
        <v>1.6668119943920781</v>
      </c>
      <c r="P20" s="61">
        <f t="shared" si="13"/>
        <v>0.64720105579473386</v>
      </c>
      <c r="Q20" s="60">
        <f t="shared" si="14"/>
        <v>1.1224198960698073</v>
      </c>
      <c r="R20" s="85">
        <f t="shared" si="15"/>
        <v>0.58852596722596462</v>
      </c>
      <c r="S20" s="1"/>
      <c r="T20" s="1"/>
      <c r="U20" s="1"/>
      <c r="V20" s="1"/>
      <c r="W20" s="1"/>
      <c r="X20" s="1"/>
      <c r="Y20" s="1"/>
      <c r="Z20" s="1"/>
    </row>
    <row r="21" s="87" customFormat="1" ht="17.25">
      <c r="A21" s="88"/>
      <c r="B21" s="89"/>
      <c r="C21" s="90"/>
      <c r="D21" s="91" t="s">
        <v>56</v>
      </c>
      <c r="E21" s="92">
        <f>SUM(E18:E20)</f>
        <v>218401.53</v>
      </c>
      <c r="F21" s="92">
        <f>SUM(F18:F20)</f>
        <v>505148.90000000002</v>
      </c>
      <c r="G21" s="92">
        <f>SUM(G18:G20)</f>
        <v>277489.70000000001</v>
      </c>
      <c r="H21" s="92">
        <f>SUM(H18:H20)</f>
        <v>58564.900000000001</v>
      </c>
      <c r="I21" s="92">
        <f>SUM(I18:I20)</f>
        <v>303447.19</v>
      </c>
      <c r="J21" s="92">
        <f>SUM(J18:J20)</f>
        <v>49724.850000000006</v>
      </c>
      <c r="K21" s="92">
        <f t="shared" si="8"/>
        <v>85045.660000000003</v>
      </c>
      <c r="L21" s="92">
        <f t="shared" si="9"/>
        <v>25957.489999999991</v>
      </c>
      <c r="M21" s="92">
        <f t="shared" si="10"/>
        <v>-201701.71000000002</v>
      </c>
      <c r="N21" s="92">
        <f t="shared" si="11"/>
        <v>-8840.0499999999956</v>
      </c>
      <c r="O21" s="93">
        <f t="shared" si="12"/>
        <v>1.3894004771853017</v>
      </c>
      <c r="P21" s="93">
        <f t="shared" si="13"/>
        <v>0.84905549228292043</v>
      </c>
      <c r="Q21" s="93">
        <f t="shared" si="14"/>
        <v>1.093543976587239</v>
      </c>
      <c r="R21" s="94">
        <f t="shared" si="15"/>
        <v>0.60070840498712352</v>
      </c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</row>
    <row r="22" ht="34.5">
      <c r="A22" s="95">
        <v>951</v>
      </c>
      <c r="B22" s="75" t="s">
        <v>23</v>
      </c>
      <c r="C22" s="96" t="s">
        <v>57</v>
      </c>
      <c r="D22" s="97" t="s">
        <v>58</v>
      </c>
      <c r="E22" s="58">
        <v>75156.880000000005</v>
      </c>
      <c r="F22" s="78">
        <v>104746.7</v>
      </c>
      <c r="G22" s="58">
        <v>56821.599999999999</v>
      </c>
      <c r="H22" s="78">
        <v>9042</v>
      </c>
      <c r="I22" s="58">
        <v>57364.410000000003</v>
      </c>
      <c r="J22" s="78">
        <v>8309.5799999999999</v>
      </c>
      <c r="K22" s="58">
        <f t="shared" si="8"/>
        <v>-17792.470000000001</v>
      </c>
      <c r="L22" s="78">
        <f t="shared" si="9"/>
        <v>542.81000000000495</v>
      </c>
      <c r="M22" s="58">
        <f t="shared" si="10"/>
        <v>-47382.289999999994</v>
      </c>
      <c r="N22" s="78">
        <f t="shared" si="11"/>
        <v>-732.42000000000007</v>
      </c>
      <c r="O22" s="61">
        <f t="shared" si="12"/>
        <v>0.76326225889100241</v>
      </c>
      <c r="P22" s="79">
        <f t="shared" si="13"/>
        <v>0.9189980092899801</v>
      </c>
      <c r="Q22" s="61">
        <f t="shared" si="14"/>
        <v>1.0095528812986612</v>
      </c>
      <c r="R22" s="80">
        <f t="shared" si="15"/>
        <v>0.54764885194473911</v>
      </c>
      <c r="S22" s="1"/>
      <c r="T22" s="1"/>
      <c r="U22" s="1"/>
      <c r="V22" s="1"/>
      <c r="W22" s="1"/>
      <c r="X22" s="1"/>
      <c r="Y22" s="1"/>
      <c r="Z22" s="1"/>
    </row>
    <row r="23" ht="17.25">
      <c r="A23" s="98"/>
      <c r="B23" s="82"/>
      <c r="C23" s="99" t="s">
        <v>59</v>
      </c>
      <c r="D23" s="83" t="s">
        <v>60</v>
      </c>
      <c r="E23" s="57">
        <v>9415.2600000000002</v>
      </c>
      <c r="F23" s="58">
        <v>11046.9</v>
      </c>
      <c r="G23" s="57">
        <v>5802.1000000000004</v>
      </c>
      <c r="H23" s="58">
        <v>1590</v>
      </c>
      <c r="I23" s="57">
        <v>10249.440000000001</v>
      </c>
      <c r="J23" s="58">
        <v>1048.45</v>
      </c>
      <c r="K23" s="57">
        <f t="shared" si="8"/>
        <v>834.18000000000029</v>
      </c>
      <c r="L23" s="58">
        <f t="shared" si="9"/>
        <v>4447.3400000000001</v>
      </c>
      <c r="M23" s="57">
        <f t="shared" si="10"/>
        <v>-797.45999999999913</v>
      </c>
      <c r="N23" s="58">
        <f t="shared" si="11"/>
        <v>-541.54999999999995</v>
      </c>
      <c r="O23" s="60">
        <f t="shared" si="12"/>
        <v>1.0885987216497472</v>
      </c>
      <c r="P23" s="61">
        <f t="shared" si="13"/>
        <v>0.65940251572327047</v>
      </c>
      <c r="Q23" s="60">
        <f t="shared" si="14"/>
        <v>1.7665052308646869</v>
      </c>
      <c r="R23" s="85">
        <f t="shared" si="15"/>
        <v>0.92781142220894552</v>
      </c>
      <c r="S23" s="1"/>
      <c r="T23" s="1"/>
      <c r="U23" s="1"/>
      <c r="V23" s="1"/>
      <c r="W23" s="1"/>
      <c r="X23" s="1"/>
      <c r="Y23" s="1"/>
      <c r="Z23" s="1"/>
    </row>
    <row r="24" s="87" customFormat="1" ht="17.25">
      <c r="A24" s="100"/>
      <c r="B24" s="89"/>
      <c r="C24" s="90"/>
      <c r="D24" s="91" t="s">
        <v>56</v>
      </c>
      <c r="E24" s="92">
        <f>E22+E23</f>
        <v>84572.139999999999</v>
      </c>
      <c r="F24" s="92">
        <f>F22+F23</f>
        <v>115793.59999999999</v>
      </c>
      <c r="G24" s="92">
        <f>G22+G23</f>
        <v>62623.699999999997</v>
      </c>
      <c r="H24" s="92">
        <f>H22+H23</f>
        <v>10632</v>
      </c>
      <c r="I24" s="92">
        <f>I22+I23</f>
        <v>67613.850000000006</v>
      </c>
      <c r="J24" s="92">
        <f>J22+J23</f>
        <v>9358.0300000000007</v>
      </c>
      <c r="K24" s="92">
        <f t="shared" si="8"/>
        <v>-16958.289999999994</v>
      </c>
      <c r="L24" s="92">
        <f t="shared" si="9"/>
        <v>4990.1500000000087</v>
      </c>
      <c r="M24" s="92">
        <f t="shared" si="10"/>
        <v>-48179.749999999985</v>
      </c>
      <c r="N24" s="92">
        <f t="shared" si="11"/>
        <v>-1273.9699999999993</v>
      </c>
      <c r="O24" s="93">
        <f t="shared" si="12"/>
        <v>0.79948136584932117</v>
      </c>
      <c r="P24" s="93">
        <f t="shared" si="13"/>
        <v>0.88017588412340109</v>
      </c>
      <c r="Q24" s="93">
        <f t="shared" si="14"/>
        <v>1.0796846880653812</v>
      </c>
      <c r="R24" s="94">
        <f t="shared" si="15"/>
        <v>0.5839169867764713</v>
      </c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</row>
    <row r="25" ht="17.25">
      <c r="A25" s="101" t="s">
        <v>61</v>
      </c>
      <c r="B25" s="75" t="s">
        <v>62</v>
      </c>
      <c r="C25" s="102" t="s">
        <v>63</v>
      </c>
      <c r="D25" s="83" t="s">
        <v>64</v>
      </c>
      <c r="E25" s="78">
        <v>7403.8299999999999</v>
      </c>
      <c r="F25" s="58">
        <v>7680</v>
      </c>
      <c r="G25" s="78">
        <v>0</v>
      </c>
      <c r="H25" s="58">
        <v>0</v>
      </c>
      <c r="I25" s="78">
        <v>0</v>
      </c>
      <c r="J25" s="58">
        <v>0</v>
      </c>
      <c r="K25" s="78">
        <f t="shared" si="8"/>
        <v>-7403.8299999999999</v>
      </c>
      <c r="L25" s="58">
        <f t="shared" si="9"/>
        <v>0</v>
      </c>
      <c r="M25" s="78">
        <f t="shared" si="10"/>
        <v>-7680</v>
      </c>
      <c r="N25" s="58">
        <f t="shared" si="11"/>
        <v>0</v>
      </c>
      <c r="O25" s="79">
        <f t="shared" si="12"/>
        <v>0</v>
      </c>
      <c r="P25" s="61" t="str">
        <f t="shared" si="13"/>
        <v/>
      </c>
      <c r="Q25" s="79" t="str">
        <f t="shared" si="14"/>
        <v/>
      </c>
      <c r="R25" s="80">
        <f t="shared" si="15"/>
        <v>0</v>
      </c>
      <c r="S25" s="1"/>
      <c r="T25" s="1"/>
      <c r="U25" s="1"/>
      <c r="V25" s="1"/>
      <c r="W25" s="1"/>
      <c r="X25" s="1"/>
      <c r="Y25" s="1"/>
      <c r="Z25" s="1"/>
    </row>
    <row r="26" ht="17.25">
      <c r="A26" s="10"/>
      <c r="B26" s="82"/>
      <c r="C26" s="55" t="s">
        <v>65</v>
      </c>
      <c r="D26" s="103" t="s">
        <v>66</v>
      </c>
      <c r="E26" s="58">
        <v>47281.18</v>
      </c>
      <c r="F26" s="57">
        <v>80987</v>
      </c>
      <c r="G26" s="58">
        <v>45600</v>
      </c>
      <c r="H26" s="57">
        <v>6000</v>
      </c>
      <c r="I26" s="58">
        <v>46635.760000000002</v>
      </c>
      <c r="J26" s="57">
        <v>6456.71</v>
      </c>
      <c r="K26" s="58">
        <f t="shared" si="8"/>
        <v>-645.41999999999825</v>
      </c>
      <c r="L26" s="57">
        <f t="shared" si="9"/>
        <v>1035.760000000002</v>
      </c>
      <c r="M26" s="58">
        <f t="shared" si="10"/>
        <v>-34351.239999999998</v>
      </c>
      <c r="N26" s="57">
        <f t="shared" si="11"/>
        <v>456.71000000000004</v>
      </c>
      <c r="O26" s="61">
        <f t="shared" si="12"/>
        <v>0.98634932546099741</v>
      </c>
      <c r="P26" s="60">
        <f t="shared" si="13"/>
        <v>1.0761183333333333</v>
      </c>
      <c r="Q26" s="61">
        <f t="shared" si="14"/>
        <v>1.0227140350877193</v>
      </c>
      <c r="R26" s="85">
        <f t="shared" si="15"/>
        <v>0.57584254263029877</v>
      </c>
      <c r="S26" s="1"/>
      <c r="T26" s="1"/>
      <c r="U26" s="1"/>
      <c r="V26" s="1"/>
      <c r="W26" s="1"/>
      <c r="X26" s="1"/>
      <c r="Y26" s="1"/>
      <c r="Z26" s="1"/>
    </row>
    <row r="27" ht="17.25">
      <c r="A27" s="10"/>
      <c r="B27" s="82"/>
      <c r="C27" s="104" t="s">
        <v>67</v>
      </c>
      <c r="D27" s="105" t="s">
        <v>68</v>
      </c>
      <c r="E27" s="57">
        <v>1041.4100000000001</v>
      </c>
      <c r="F27" s="58">
        <v>557</v>
      </c>
      <c r="G27" s="57">
        <v>324.89999999999998</v>
      </c>
      <c r="H27" s="58">
        <v>46.399999999999999</v>
      </c>
      <c r="I27" s="57">
        <v>761.78999999999996</v>
      </c>
      <c r="J27" s="58">
        <v>314.69</v>
      </c>
      <c r="K27" s="57">
        <f t="shared" si="8"/>
        <v>-279.62000000000012</v>
      </c>
      <c r="L27" s="58">
        <f t="shared" si="9"/>
        <v>436.88999999999999</v>
      </c>
      <c r="M27" s="57">
        <f t="shared" si="10"/>
        <v>204.78999999999996</v>
      </c>
      <c r="N27" s="58">
        <f t="shared" si="11"/>
        <v>268.29000000000002</v>
      </c>
      <c r="O27" s="60">
        <f t="shared" si="12"/>
        <v>0.73149864126520769</v>
      </c>
      <c r="P27" s="61">
        <f t="shared" si="13"/>
        <v>6.7821120689655174</v>
      </c>
      <c r="Q27" s="60">
        <f t="shared" si="14"/>
        <v>2.3446906740535551</v>
      </c>
      <c r="R27" s="85">
        <f t="shared" si="15"/>
        <v>1.3676660682226212</v>
      </c>
      <c r="S27" s="1"/>
      <c r="T27" s="1"/>
      <c r="U27" s="1"/>
      <c r="V27" s="1"/>
      <c r="W27" s="1"/>
      <c r="X27" s="1"/>
      <c r="Y27" s="1"/>
      <c r="Z27" s="1"/>
    </row>
    <row r="28" ht="17.25">
      <c r="A28" s="10"/>
      <c r="B28" s="82"/>
      <c r="C28" s="106" t="s">
        <v>69</v>
      </c>
      <c r="D28" s="107" t="s">
        <v>70</v>
      </c>
      <c r="E28" s="58">
        <v>0</v>
      </c>
      <c r="F28" s="57">
        <f>8021.3+5846.2</f>
        <v>13867.5</v>
      </c>
      <c r="G28" s="58">
        <v>0</v>
      </c>
      <c r="H28" s="57">
        <v>0</v>
      </c>
      <c r="I28" s="58">
        <v>0</v>
      </c>
      <c r="J28" s="57">
        <v>0</v>
      </c>
      <c r="K28" s="58">
        <f t="shared" si="8"/>
        <v>0</v>
      </c>
      <c r="L28" s="57">
        <f t="shared" si="9"/>
        <v>0</v>
      </c>
      <c r="M28" s="58">
        <f t="shared" si="10"/>
        <v>-13867.5</v>
      </c>
      <c r="N28" s="57">
        <f t="shared" si="11"/>
        <v>0</v>
      </c>
      <c r="O28" s="61" t="str">
        <f t="shared" si="12"/>
        <v/>
      </c>
      <c r="P28" s="60" t="str">
        <f t="shared" si="13"/>
        <v/>
      </c>
      <c r="Q28" s="61" t="str">
        <f t="shared" si="14"/>
        <v/>
      </c>
      <c r="R28" s="85">
        <f t="shared" si="15"/>
        <v>0</v>
      </c>
      <c r="S28" s="1"/>
      <c r="T28" s="1"/>
      <c r="U28" s="1"/>
      <c r="V28" s="1"/>
      <c r="W28" s="1"/>
      <c r="X28" s="1"/>
      <c r="Y28" s="1"/>
      <c r="Z28" s="1"/>
    </row>
    <row r="29" s="1" customFormat="1" ht="17.25">
      <c r="A29" s="10"/>
      <c r="B29" s="82"/>
      <c r="C29" s="104" t="s">
        <v>71</v>
      </c>
      <c r="D29" s="105" t="s">
        <v>72</v>
      </c>
      <c r="E29" s="57">
        <f>E30+E32+E31</f>
        <v>291773.94</v>
      </c>
      <c r="F29" s="58">
        <f>F30+F32+F31</f>
        <v>84753.799999999988</v>
      </c>
      <c r="G29" s="57">
        <f>G30+G32+G31</f>
        <v>52500.199999999997</v>
      </c>
      <c r="H29" s="58">
        <f>H30+H32+H31</f>
        <v>21630.299999999999</v>
      </c>
      <c r="I29" s="57">
        <f>I30+I32+I31</f>
        <v>79882.300000000003</v>
      </c>
      <c r="J29" s="58">
        <f>J30+J32+J31</f>
        <v>47727.540000000001</v>
      </c>
      <c r="K29" s="57">
        <f t="shared" si="8"/>
        <v>-211891.64000000001</v>
      </c>
      <c r="L29" s="58">
        <f t="shared" si="9"/>
        <v>27382.100000000006</v>
      </c>
      <c r="M29" s="57">
        <f t="shared" si="10"/>
        <v>-4871.4999999999854</v>
      </c>
      <c r="N29" s="58">
        <f t="shared" si="11"/>
        <v>26097.240000000002</v>
      </c>
      <c r="O29" s="60">
        <f t="shared" si="12"/>
        <v>0.2737814761661031</v>
      </c>
      <c r="P29" s="61">
        <f t="shared" si="13"/>
        <v>2.2065130858101831</v>
      </c>
      <c r="Q29" s="60">
        <f t="shared" si="14"/>
        <v>1.5215618226216283</v>
      </c>
      <c r="R29" s="85">
        <f t="shared" si="15"/>
        <v>0.94252175123711279</v>
      </c>
      <c r="S29" s="1"/>
      <c r="T29" s="1"/>
      <c r="U29" s="1"/>
      <c r="V29" s="1"/>
      <c r="W29" s="1"/>
      <c r="X29" s="1"/>
      <c r="Y29" s="1"/>
      <c r="Z29" s="1"/>
    </row>
    <row r="30" s="108" customFormat="1" ht="17.25" customHeight="1">
      <c r="A30" s="109"/>
      <c r="B30" s="110"/>
      <c r="C30" s="111" t="s">
        <v>73</v>
      </c>
      <c r="D30" s="112" t="s">
        <v>74</v>
      </c>
      <c r="E30" s="113">
        <v>272884.56</v>
      </c>
      <c r="F30" s="114">
        <v>45675.099999999999</v>
      </c>
      <c r="G30" s="113">
        <v>31595.5</v>
      </c>
      <c r="H30" s="114">
        <v>18300</v>
      </c>
      <c r="I30" s="113">
        <v>59048.559999999998</v>
      </c>
      <c r="J30" s="114">
        <v>45761.669999999998</v>
      </c>
      <c r="K30" s="113">
        <f t="shared" si="8"/>
        <v>-213836</v>
      </c>
      <c r="L30" s="114">
        <f t="shared" si="9"/>
        <v>27453.059999999998</v>
      </c>
      <c r="M30" s="113">
        <f t="shared" si="10"/>
        <v>13373.459999999999</v>
      </c>
      <c r="N30" s="114">
        <f t="shared" si="11"/>
        <v>27461.669999999998</v>
      </c>
      <c r="O30" s="115">
        <f t="shared" si="12"/>
        <v>0.21638659219121814</v>
      </c>
      <c r="P30" s="116">
        <f t="shared" si="13"/>
        <v>2.5006377049180326</v>
      </c>
      <c r="Q30" s="115">
        <f t="shared" si="14"/>
        <v>1.8688914560617809</v>
      </c>
      <c r="R30" s="117">
        <f t="shared" si="15"/>
        <v>1.292795418072429</v>
      </c>
      <c r="S30" s="108"/>
      <c r="T30" s="108"/>
      <c r="U30" s="108"/>
      <c r="V30" s="108"/>
      <c r="W30" s="108"/>
      <c r="X30" s="108"/>
      <c r="Y30" s="108"/>
      <c r="Z30" s="108"/>
    </row>
    <row r="31" s="108" customFormat="1" ht="16.5" customHeight="1">
      <c r="A31" s="109"/>
      <c r="B31" s="110"/>
      <c r="C31" s="118" t="s">
        <v>75</v>
      </c>
      <c r="D31" s="119" t="s">
        <v>76</v>
      </c>
      <c r="E31" s="114">
        <v>0</v>
      </c>
      <c r="F31" s="113">
        <v>481</v>
      </c>
      <c r="G31" s="114">
        <v>301.10000000000002</v>
      </c>
      <c r="H31" s="113">
        <v>0</v>
      </c>
      <c r="I31" s="114">
        <v>0</v>
      </c>
      <c r="J31" s="113">
        <v>0</v>
      </c>
      <c r="K31" s="114">
        <f t="shared" si="8"/>
        <v>0</v>
      </c>
      <c r="L31" s="113">
        <f t="shared" si="9"/>
        <v>-301.10000000000002</v>
      </c>
      <c r="M31" s="114">
        <f t="shared" si="10"/>
        <v>-481</v>
      </c>
      <c r="N31" s="113">
        <f t="shared" si="11"/>
        <v>0</v>
      </c>
      <c r="O31" s="116" t="str">
        <f t="shared" si="12"/>
        <v/>
      </c>
      <c r="P31" s="115" t="str">
        <f t="shared" si="13"/>
        <v/>
      </c>
      <c r="Q31" s="116">
        <f t="shared" si="14"/>
        <v>0</v>
      </c>
      <c r="R31" s="117">
        <f t="shared" si="15"/>
        <v>0</v>
      </c>
      <c r="S31" s="108"/>
      <c r="T31" s="108"/>
      <c r="U31" s="108"/>
      <c r="V31" s="108"/>
      <c r="W31" s="108"/>
      <c r="X31" s="108"/>
      <c r="Y31" s="108"/>
      <c r="Z31" s="108"/>
    </row>
    <row r="32" s="108" customFormat="1" ht="17.25" customHeight="1">
      <c r="A32" s="109"/>
      <c r="B32" s="110"/>
      <c r="C32" s="111" t="s">
        <v>77</v>
      </c>
      <c r="D32" s="112" t="s">
        <v>78</v>
      </c>
      <c r="E32" s="113">
        <v>18889.380000000001</v>
      </c>
      <c r="F32" s="114">
        <v>38597.699999999997</v>
      </c>
      <c r="G32" s="113">
        <v>20603.599999999999</v>
      </c>
      <c r="H32" s="114">
        <v>3330.3000000000002</v>
      </c>
      <c r="I32" s="113">
        <v>20833.740000000002</v>
      </c>
      <c r="J32" s="114">
        <v>1965.8700000000001</v>
      </c>
      <c r="K32" s="113">
        <f t="shared" si="8"/>
        <v>1944.3600000000006</v>
      </c>
      <c r="L32" s="114">
        <f t="shared" si="9"/>
        <v>230.14000000000306</v>
      </c>
      <c r="M32" s="113">
        <f t="shared" si="10"/>
        <v>-17763.959999999995</v>
      </c>
      <c r="N32" s="114">
        <f t="shared" si="11"/>
        <v>-1364.4300000000001</v>
      </c>
      <c r="O32" s="115">
        <f t="shared" si="12"/>
        <v>1.1029340295975834</v>
      </c>
      <c r="P32" s="116">
        <f t="shared" si="13"/>
        <v>0.59029817133591567</v>
      </c>
      <c r="Q32" s="115">
        <f t="shared" si="14"/>
        <v>1.0111698926401214</v>
      </c>
      <c r="R32" s="117">
        <f t="shared" si="15"/>
        <v>0.53976635913538895</v>
      </c>
      <c r="S32" s="108"/>
      <c r="T32" s="108"/>
      <c r="U32" s="108"/>
      <c r="V32" s="108"/>
      <c r="W32" s="108"/>
      <c r="X32" s="108"/>
      <c r="Y32" s="108"/>
      <c r="Z32" s="108"/>
    </row>
    <row r="33" s="87" customFormat="1" ht="17.25">
      <c r="A33" s="120"/>
      <c r="B33" s="121"/>
      <c r="C33" s="90"/>
      <c r="D33" s="91" t="s">
        <v>56</v>
      </c>
      <c r="E33" s="92">
        <f>SUM(E25:E29)</f>
        <v>347500.35999999999</v>
      </c>
      <c r="F33" s="92">
        <f>SUM(F25:F29)</f>
        <v>187845.29999999999</v>
      </c>
      <c r="G33" s="92">
        <f>SUM(G25:G29)</f>
        <v>98425.100000000006</v>
      </c>
      <c r="H33" s="92">
        <f>SUM(H25:H29)</f>
        <v>27676.699999999997</v>
      </c>
      <c r="I33" s="92">
        <f>SUM(I25:I29)</f>
        <v>127279.85000000001</v>
      </c>
      <c r="J33" s="92">
        <f>SUM(J25:J29)</f>
        <v>54498.940000000002</v>
      </c>
      <c r="K33" s="92">
        <f t="shared" si="8"/>
        <v>-220220.50999999998</v>
      </c>
      <c r="L33" s="92">
        <f t="shared" si="9"/>
        <v>28854.75</v>
      </c>
      <c r="M33" s="92">
        <f t="shared" si="10"/>
        <v>-60565.449999999983</v>
      </c>
      <c r="N33" s="92">
        <f t="shared" si="11"/>
        <v>26822.240000000005</v>
      </c>
      <c r="O33" s="93">
        <f t="shared" si="12"/>
        <v>0.3662725701924453</v>
      </c>
      <c r="P33" s="93">
        <f t="shared" si="13"/>
        <v>1.9691270996903536</v>
      </c>
      <c r="Q33" s="93">
        <f t="shared" si="14"/>
        <v>1.2931645484739156</v>
      </c>
      <c r="R33" s="94">
        <f t="shared" si="15"/>
        <v>0.67757803895013613</v>
      </c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</row>
    <row r="34" ht="19.5" customHeight="1">
      <c r="A34" s="122" t="s">
        <v>79</v>
      </c>
      <c r="B34" s="123" t="s">
        <v>39</v>
      </c>
      <c r="C34" s="106" t="s">
        <v>80</v>
      </c>
      <c r="D34" s="97" t="s">
        <v>81</v>
      </c>
      <c r="E34" s="58">
        <v>168523.89999999999</v>
      </c>
      <c r="F34" s="78">
        <v>293156.20000000001</v>
      </c>
      <c r="G34" s="58">
        <v>158400</v>
      </c>
      <c r="H34" s="78">
        <v>17400</v>
      </c>
      <c r="I34" s="58">
        <v>157810.74000000002</v>
      </c>
      <c r="J34" s="78">
        <v>5589.8100000000004</v>
      </c>
      <c r="K34" s="58">
        <f t="shared" si="8"/>
        <v>-10713.159999999974</v>
      </c>
      <c r="L34" s="78">
        <f t="shared" si="9"/>
        <v>-589.25999999998021</v>
      </c>
      <c r="M34" s="58">
        <f t="shared" si="10"/>
        <v>-135345.45999999999</v>
      </c>
      <c r="N34" s="78">
        <f t="shared" si="11"/>
        <v>-11810.189999999999</v>
      </c>
      <c r="O34" s="61">
        <f t="shared" si="12"/>
        <v>0.93642943226450392</v>
      </c>
      <c r="P34" s="79">
        <f t="shared" si="13"/>
        <v>0.32125344827586211</v>
      </c>
      <c r="Q34" s="61">
        <f t="shared" si="14"/>
        <v>0.9962799242424244</v>
      </c>
      <c r="R34" s="80">
        <f t="shared" si="15"/>
        <v>0.53831622868627715</v>
      </c>
      <c r="S34" s="1"/>
      <c r="T34" s="1"/>
      <c r="U34" s="1"/>
      <c r="V34" s="1"/>
      <c r="W34" s="1"/>
      <c r="X34" s="1"/>
      <c r="Y34" s="1"/>
      <c r="Z34" s="1"/>
    </row>
    <row r="35" ht="37.5" customHeight="1">
      <c r="A35" s="81"/>
      <c r="B35" s="124"/>
      <c r="C35" s="63" t="s">
        <v>82</v>
      </c>
      <c r="D35" s="105" t="s">
        <v>83</v>
      </c>
      <c r="E35" s="57">
        <v>19772.490000000002</v>
      </c>
      <c r="F35" s="58">
        <v>100194.10000000001</v>
      </c>
      <c r="G35" s="57">
        <v>81192</v>
      </c>
      <c r="H35" s="58">
        <v>19000</v>
      </c>
      <c r="I35" s="57">
        <v>103635.21000000001</v>
      </c>
      <c r="J35" s="58">
        <v>6503.6800000000003</v>
      </c>
      <c r="K35" s="57">
        <f t="shared" si="8"/>
        <v>83862.720000000001</v>
      </c>
      <c r="L35" s="58">
        <f t="shared" si="9"/>
        <v>22443.210000000006</v>
      </c>
      <c r="M35" s="57">
        <f t="shared" si="10"/>
        <v>3441.1100000000006</v>
      </c>
      <c r="N35" s="58">
        <f t="shared" si="11"/>
        <v>-12496.32</v>
      </c>
      <c r="O35" s="60">
        <f t="shared" si="12"/>
        <v>5.2413838621235866</v>
      </c>
      <c r="P35" s="61">
        <f t="shared" si="13"/>
        <v>0.34229894736842109</v>
      </c>
      <c r="Q35" s="60">
        <f t="shared" si="14"/>
        <v>1.2764214454626073</v>
      </c>
      <c r="R35" s="85">
        <f t="shared" si="15"/>
        <v>1.0343444374469155</v>
      </c>
      <c r="S35" s="1"/>
      <c r="T35" s="1"/>
      <c r="U35" s="1"/>
      <c r="V35" s="1"/>
      <c r="W35" s="1"/>
      <c r="X35" s="1"/>
      <c r="Y35" s="1"/>
      <c r="Z35" s="1"/>
    </row>
    <row r="36" ht="34.5">
      <c r="A36" s="81"/>
      <c r="B36" s="124"/>
      <c r="C36" s="55" t="s">
        <v>84</v>
      </c>
      <c r="D36" s="86" t="s">
        <v>85</v>
      </c>
      <c r="E36" s="58">
        <v>25167.630000000001</v>
      </c>
      <c r="F36" s="57">
        <v>53573.900000000001</v>
      </c>
      <c r="G36" s="58">
        <v>31653</v>
      </c>
      <c r="H36" s="57">
        <v>3990</v>
      </c>
      <c r="I36" s="58">
        <v>36014.760000000002</v>
      </c>
      <c r="J36" s="57">
        <v>839.44000000000005</v>
      </c>
      <c r="K36" s="58">
        <f t="shared" si="8"/>
        <v>10847.130000000001</v>
      </c>
      <c r="L36" s="57">
        <f t="shared" si="9"/>
        <v>4361.760000000002</v>
      </c>
      <c r="M36" s="58">
        <f t="shared" si="10"/>
        <v>-17559.139999999999</v>
      </c>
      <c r="N36" s="57">
        <f t="shared" si="11"/>
        <v>-3150.5599999999999</v>
      </c>
      <c r="O36" s="61">
        <f t="shared" si="12"/>
        <v>1.4309952903789511</v>
      </c>
      <c r="P36" s="60">
        <f t="shared" si="13"/>
        <v>0.2103859649122807</v>
      </c>
      <c r="Q36" s="61">
        <f t="shared" si="14"/>
        <v>1.1377992607335798</v>
      </c>
      <c r="R36" s="85">
        <f t="shared" si="15"/>
        <v>0.67224450712007155</v>
      </c>
      <c r="S36" s="1"/>
      <c r="T36" s="1"/>
      <c r="U36" s="1"/>
      <c r="V36" s="1"/>
      <c r="W36" s="1"/>
      <c r="X36" s="1"/>
      <c r="Y36" s="1"/>
      <c r="Z36" s="1"/>
    </row>
    <row r="37" ht="40.5" customHeight="1">
      <c r="A37" s="81"/>
      <c r="B37" s="124"/>
      <c r="C37" s="63" t="s">
        <v>86</v>
      </c>
      <c r="D37" s="105" t="s">
        <v>87</v>
      </c>
      <c r="E37" s="57">
        <v>408112.03000000003</v>
      </c>
      <c r="F37" s="58">
        <v>115809.2</v>
      </c>
      <c r="G37" s="57">
        <v>19505.099999999999</v>
      </c>
      <c r="H37" s="58">
        <v>9701.7999999999993</v>
      </c>
      <c r="I37" s="57">
        <v>10778.75</v>
      </c>
      <c r="J37" s="58">
        <v>0</v>
      </c>
      <c r="K37" s="57">
        <f t="shared" si="8"/>
        <v>-397333.28000000003</v>
      </c>
      <c r="L37" s="58">
        <f t="shared" si="9"/>
        <v>-8726.3499999999985</v>
      </c>
      <c r="M37" s="57">
        <f t="shared" si="10"/>
        <v>-105030.45</v>
      </c>
      <c r="N37" s="58">
        <f t="shared" si="11"/>
        <v>-9701.7999999999993</v>
      </c>
      <c r="O37" s="60">
        <f t="shared" si="12"/>
        <v>0.026411252812126119</v>
      </c>
      <c r="P37" s="61">
        <f t="shared" si="13"/>
        <v>0</v>
      </c>
      <c r="Q37" s="60">
        <f t="shared" si="14"/>
        <v>0.55261188099522696</v>
      </c>
      <c r="R37" s="85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</row>
    <row r="38" ht="17.25">
      <c r="A38" s="81"/>
      <c r="B38" s="124"/>
      <c r="C38" s="55" t="s">
        <v>88</v>
      </c>
      <c r="D38" s="86" t="s">
        <v>89</v>
      </c>
      <c r="E38" s="58">
        <v>3011.9099999999999</v>
      </c>
      <c r="F38" s="57">
        <v>3436.3000000000002</v>
      </c>
      <c r="G38" s="58">
        <v>847</v>
      </c>
      <c r="H38" s="57">
        <v>0</v>
      </c>
      <c r="I38" s="58">
        <v>2410.98</v>
      </c>
      <c r="J38" s="57">
        <v>171.44999999999999</v>
      </c>
      <c r="K38" s="58">
        <f t="shared" si="8"/>
        <v>-600.92999999999984</v>
      </c>
      <c r="L38" s="57">
        <f t="shared" si="9"/>
        <v>1563.98</v>
      </c>
      <c r="M38" s="58">
        <f t="shared" si="10"/>
        <v>-1025.3200000000002</v>
      </c>
      <c r="N38" s="57">
        <f t="shared" si="11"/>
        <v>171.44999999999999</v>
      </c>
      <c r="O38" s="61">
        <f t="shared" si="12"/>
        <v>0.80048208611811111</v>
      </c>
      <c r="P38" s="60" t="str">
        <f t="shared" si="13"/>
        <v/>
      </c>
      <c r="Q38" s="61">
        <f t="shared" si="14"/>
        <v>2.8464935064935064</v>
      </c>
      <c r="R38" s="85">
        <f t="shared" si="15"/>
        <v>0.70162092948811217</v>
      </c>
      <c r="S38" s="1"/>
      <c r="T38" s="1"/>
      <c r="U38" s="1"/>
      <c r="V38" s="1"/>
      <c r="W38" s="1"/>
      <c r="X38" s="1"/>
      <c r="Y38" s="1"/>
      <c r="Z38" s="1"/>
    </row>
    <row r="39" ht="17.25">
      <c r="A39" s="81"/>
      <c r="B39" s="124"/>
      <c r="C39" s="63" t="s">
        <v>90</v>
      </c>
      <c r="D39" s="83" t="s">
        <v>91</v>
      </c>
      <c r="E39" s="57">
        <v>172.56</v>
      </c>
      <c r="F39" s="58">
        <v>0</v>
      </c>
      <c r="G39" s="57">
        <v>0</v>
      </c>
      <c r="H39" s="58">
        <v>0</v>
      </c>
      <c r="I39" s="57">
        <v>470.33999999999997</v>
      </c>
      <c r="J39" s="58">
        <v>169.47</v>
      </c>
      <c r="K39" s="57">
        <f t="shared" si="8"/>
        <v>297.77999999999997</v>
      </c>
      <c r="L39" s="58">
        <f t="shared" si="9"/>
        <v>470.33999999999997</v>
      </c>
      <c r="M39" s="57">
        <f t="shared" si="10"/>
        <v>470.33999999999997</v>
      </c>
      <c r="N39" s="58">
        <f t="shared" si="11"/>
        <v>169.47</v>
      </c>
      <c r="O39" s="60">
        <f t="shared" si="12"/>
        <v>2.7256606397774683</v>
      </c>
      <c r="P39" s="61" t="str">
        <f t="shared" si="13"/>
        <v/>
      </c>
      <c r="Q39" s="60" t="str">
        <f t="shared" si="14"/>
        <v/>
      </c>
      <c r="R39" s="85" t="str">
        <f t="shared" si="15"/>
        <v/>
      </c>
      <c r="S39" s="1"/>
      <c r="T39" s="1"/>
      <c r="U39" s="1"/>
      <c r="V39" s="1"/>
      <c r="W39" s="1"/>
      <c r="X39" s="1"/>
      <c r="Y39" s="1"/>
      <c r="Z39" s="1"/>
    </row>
    <row r="40" ht="34.5">
      <c r="A40" s="81"/>
      <c r="B40" s="124"/>
      <c r="C40" s="106" t="s">
        <v>92</v>
      </c>
      <c r="D40" s="107" t="s">
        <v>93</v>
      </c>
      <c r="E40" s="58">
        <v>143184.10999999999</v>
      </c>
      <c r="F40" s="57">
        <v>202788.70000000001</v>
      </c>
      <c r="G40" s="58">
        <v>107630</v>
      </c>
      <c r="H40" s="57">
        <v>18100</v>
      </c>
      <c r="I40" s="58">
        <v>88639.320000000007</v>
      </c>
      <c r="J40" s="57">
        <v>2609.8000000000002</v>
      </c>
      <c r="K40" s="58">
        <f t="shared" si="8"/>
        <v>-54544.789999999979</v>
      </c>
      <c r="L40" s="57">
        <f t="shared" si="9"/>
        <v>-18990.679999999993</v>
      </c>
      <c r="M40" s="58">
        <f t="shared" si="10"/>
        <v>-114149.38</v>
      </c>
      <c r="N40" s="57">
        <f t="shared" si="11"/>
        <v>-15490.200000000001</v>
      </c>
      <c r="O40" s="61">
        <f t="shared" si="12"/>
        <v>0.6190583578024127</v>
      </c>
      <c r="P40" s="60">
        <f t="shared" si="13"/>
        <v>0.14418784530386741</v>
      </c>
      <c r="Q40" s="61">
        <f t="shared" si="14"/>
        <v>0.82355588590541673</v>
      </c>
      <c r="R40" s="85">
        <f t="shared" si="15"/>
        <v>0.4371018700746146</v>
      </c>
      <c r="S40" s="1"/>
      <c r="T40" s="1"/>
      <c r="U40" s="1"/>
      <c r="V40" s="1"/>
      <c r="W40" s="1"/>
      <c r="X40" s="1"/>
      <c r="Y40" s="1"/>
      <c r="Z40" s="1"/>
    </row>
    <row r="41" ht="34.5">
      <c r="A41" s="81"/>
      <c r="B41" s="124"/>
      <c r="C41" s="104" t="s">
        <v>94</v>
      </c>
      <c r="D41" s="105" t="s">
        <v>95</v>
      </c>
      <c r="E41" s="57">
        <v>0</v>
      </c>
      <c r="F41" s="58">
        <v>0</v>
      </c>
      <c r="G41" s="57">
        <v>0</v>
      </c>
      <c r="H41" s="58">
        <v>0</v>
      </c>
      <c r="I41" s="57">
        <v>12263.459999999999</v>
      </c>
      <c r="J41" s="58">
        <v>0</v>
      </c>
      <c r="K41" s="57">
        <f t="shared" si="8"/>
        <v>12263.459999999999</v>
      </c>
      <c r="L41" s="58">
        <f t="shared" si="9"/>
        <v>12263.459999999999</v>
      </c>
      <c r="M41" s="57">
        <f t="shared" si="10"/>
        <v>12263.459999999999</v>
      </c>
      <c r="N41" s="58">
        <f t="shared" si="11"/>
        <v>0</v>
      </c>
      <c r="O41" s="60" t="str">
        <f t="shared" si="12"/>
        <v/>
      </c>
      <c r="P41" s="61" t="str">
        <f t="shared" si="13"/>
        <v/>
      </c>
      <c r="Q41" s="60" t="str">
        <f t="shared" si="14"/>
        <v/>
      </c>
      <c r="R41" s="85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ht="34.5">
      <c r="A42" s="81"/>
      <c r="B42" s="124"/>
      <c r="C42" s="106" t="s">
        <v>96</v>
      </c>
      <c r="D42" s="107" t="s">
        <v>97</v>
      </c>
      <c r="E42" s="58">
        <v>81358.830000000002</v>
      </c>
      <c r="F42" s="57">
        <v>96901.899999999994</v>
      </c>
      <c r="G42" s="58">
        <v>45500</v>
      </c>
      <c r="H42" s="57">
        <v>8700</v>
      </c>
      <c r="I42" s="58">
        <v>49789.120000000003</v>
      </c>
      <c r="J42" s="57">
        <v>11594.019999999999</v>
      </c>
      <c r="K42" s="58">
        <f t="shared" si="8"/>
        <v>-31569.709999999999</v>
      </c>
      <c r="L42" s="57">
        <f t="shared" si="9"/>
        <v>4289.1200000000026</v>
      </c>
      <c r="M42" s="58">
        <f t="shared" si="10"/>
        <v>-47112.779999999992</v>
      </c>
      <c r="N42" s="57">
        <f t="shared" si="11"/>
        <v>2894.0199999999986</v>
      </c>
      <c r="O42" s="61">
        <f t="shared" si="12"/>
        <v>0.61196946907913996</v>
      </c>
      <c r="P42" s="60">
        <f t="shared" si="13"/>
        <v>1.332645977011494</v>
      </c>
      <c r="Q42" s="61">
        <f t="shared" si="14"/>
        <v>1.0942663736263736</v>
      </c>
      <c r="R42" s="85">
        <f t="shared" si="15"/>
        <v>0.51380953314640898</v>
      </c>
      <c r="S42" s="1"/>
      <c r="T42" s="1"/>
      <c r="U42" s="1"/>
      <c r="V42" s="1"/>
      <c r="W42" s="1"/>
      <c r="X42" s="1"/>
      <c r="Y42" s="1"/>
      <c r="Z42" s="1"/>
    </row>
    <row r="43" ht="44.25" customHeight="1">
      <c r="A43" s="81"/>
      <c r="B43" s="124"/>
      <c r="C43" s="104" t="s">
        <v>98</v>
      </c>
      <c r="D43" s="105" t="s">
        <v>99</v>
      </c>
      <c r="E43" s="57">
        <v>127.01000000000001</v>
      </c>
      <c r="F43" s="58">
        <v>0</v>
      </c>
      <c r="G43" s="57">
        <v>0</v>
      </c>
      <c r="H43" s="58">
        <v>0</v>
      </c>
      <c r="I43" s="57">
        <v>4539.1700000000001</v>
      </c>
      <c r="J43" s="58">
        <v>774.42999999999995</v>
      </c>
      <c r="K43" s="57">
        <f t="shared" si="8"/>
        <v>4412.1599999999999</v>
      </c>
      <c r="L43" s="58">
        <f t="shared" si="9"/>
        <v>4539.1700000000001</v>
      </c>
      <c r="M43" s="57">
        <f t="shared" si="10"/>
        <v>4539.1700000000001</v>
      </c>
      <c r="N43" s="58">
        <f t="shared" si="11"/>
        <v>774.42999999999995</v>
      </c>
      <c r="O43" s="60">
        <f t="shared" si="12"/>
        <v>35.738681993543814</v>
      </c>
      <c r="P43" s="61" t="str">
        <f t="shared" si="13"/>
        <v/>
      </c>
      <c r="Q43" s="60" t="str">
        <f t="shared" si="14"/>
        <v/>
      </c>
      <c r="R43" s="85"/>
      <c r="S43" s="1"/>
      <c r="T43" s="1"/>
      <c r="U43" s="1"/>
      <c r="V43" s="1"/>
      <c r="W43" s="1"/>
      <c r="X43" s="1"/>
      <c r="Y43" s="1"/>
      <c r="Z43" s="1"/>
    </row>
    <row r="44" ht="17.25">
      <c r="A44" s="81"/>
      <c r="B44" s="124"/>
      <c r="C44" s="55" t="s">
        <v>54</v>
      </c>
      <c r="D44" s="86" t="s">
        <v>55</v>
      </c>
      <c r="E44" s="58">
        <v>8456.4500000000007</v>
      </c>
      <c r="F44" s="57">
        <v>12977.999999999998</v>
      </c>
      <c r="G44" s="58">
        <v>6604</v>
      </c>
      <c r="H44" s="57">
        <v>0</v>
      </c>
      <c r="I44" s="58">
        <v>4596.3100000000004</v>
      </c>
      <c r="J44" s="57">
        <v>324.44</v>
      </c>
      <c r="K44" s="58">
        <f t="shared" si="8"/>
        <v>-3860.1400000000003</v>
      </c>
      <c r="L44" s="57">
        <f t="shared" si="9"/>
        <v>-2007.6899999999996</v>
      </c>
      <c r="M44" s="58">
        <f t="shared" si="10"/>
        <v>-8381.6899999999987</v>
      </c>
      <c r="N44" s="57">
        <f t="shared" si="11"/>
        <v>324.44</v>
      </c>
      <c r="O44" s="61">
        <f t="shared" si="12"/>
        <v>0.54352713017873933</v>
      </c>
      <c r="P44" s="60" t="str">
        <f t="shared" si="13"/>
        <v/>
      </c>
      <c r="Q44" s="61">
        <f t="shared" si="14"/>
        <v>0.69598879466989705</v>
      </c>
      <c r="R44" s="85">
        <f t="shared" si="15"/>
        <v>0.35416165819078449</v>
      </c>
      <c r="S44" s="1"/>
      <c r="T44" s="1"/>
      <c r="U44" s="1"/>
      <c r="V44" s="1"/>
      <c r="W44" s="1"/>
      <c r="X44" s="1"/>
      <c r="Y44" s="1"/>
      <c r="Z44" s="1"/>
    </row>
    <row r="45" ht="34.5">
      <c r="A45" s="81"/>
      <c r="B45" s="124"/>
      <c r="C45" s="63" t="s">
        <v>100</v>
      </c>
      <c r="D45" s="83" t="s">
        <v>101</v>
      </c>
      <c r="E45" s="57">
        <v>40565.800000000003</v>
      </c>
      <c r="F45" s="58">
        <v>68465.100000000006</v>
      </c>
      <c r="G45" s="57">
        <v>37916.5</v>
      </c>
      <c r="H45" s="58">
        <v>7411</v>
      </c>
      <c r="I45" s="57">
        <v>40583.5</v>
      </c>
      <c r="J45" s="58">
        <v>4968.5100000000002</v>
      </c>
      <c r="K45" s="57">
        <f t="shared" si="8"/>
        <v>17.69999999999709</v>
      </c>
      <c r="L45" s="58">
        <f t="shared" si="9"/>
        <v>2667</v>
      </c>
      <c r="M45" s="57">
        <f t="shared" si="10"/>
        <v>-27881.600000000006</v>
      </c>
      <c r="N45" s="58">
        <f t="shared" si="11"/>
        <v>-2442.4899999999998</v>
      </c>
      <c r="O45" s="60">
        <f t="shared" si="12"/>
        <v>1.0004363281384812</v>
      </c>
      <c r="P45" s="61">
        <f t="shared" si="13"/>
        <v>0.67042369450816353</v>
      </c>
      <c r="Q45" s="60">
        <f t="shared" si="14"/>
        <v>1.0703387707198713</v>
      </c>
      <c r="R45" s="85">
        <f t="shared" si="15"/>
        <v>0.59276185969201822</v>
      </c>
      <c r="S45" s="1"/>
      <c r="T45" s="1"/>
      <c r="U45" s="1"/>
      <c r="V45" s="1"/>
      <c r="W45" s="1"/>
      <c r="X45" s="1"/>
      <c r="Y45" s="1"/>
      <c r="Z45" s="1"/>
    </row>
    <row r="46" s="125" customFormat="1" ht="17.25">
      <c r="A46" s="88"/>
      <c r="B46" s="126"/>
      <c r="C46" s="127"/>
      <c r="D46" s="91" t="s">
        <v>56</v>
      </c>
      <c r="E46" s="128">
        <f>SUM(E34:E45)</f>
        <v>898452.72000000009</v>
      </c>
      <c r="F46" s="128">
        <f>SUM(F34:F45)</f>
        <v>947303.40000000014</v>
      </c>
      <c r="G46" s="128">
        <f>SUM(G34:G45)</f>
        <v>489247.59999999998</v>
      </c>
      <c r="H46" s="128">
        <f>SUM(H34:H45)</f>
        <v>84302.800000000003</v>
      </c>
      <c r="I46" s="128">
        <f>SUM(I34:I45)</f>
        <v>511531.66000000003</v>
      </c>
      <c r="J46" s="128">
        <f>SUM(J34:J45)</f>
        <v>33545.049999999996</v>
      </c>
      <c r="K46" s="128">
        <f>SUM(K34:K45)</f>
        <v>-386921.05999999994</v>
      </c>
      <c r="L46" s="128">
        <f t="shared" si="9"/>
        <v>22284.060000000056</v>
      </c>
      <c r="M46" s="128">
        <f>SUM(M34:M45)</f>
        <v>-435771.73999999999</v>
      </c>
      <c r="N46" s="128">
        <f>SUM(N34:N45)</f>
        <v>-50757.749999999993</v>
      </c>
      <c r="O46" s="93">
        <f t="shared" si="12"/>
        <v>0.56934733304608387</v>
      </c>
      <c r="P46" s="93">
        <f t="shared" si="13"/>
        <v>0.39791145727069555</v>
      </c>
      <c r="Q46" s="93">
        <f t="shared" si="14"/>
        <v>1.0455476122928351</v>
      </c>
      <c r="R46" s="94">
        <f t="shared" si="15"/>
        <v>0.53998714667338887</v>
      </c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</row>
    <row r="47" ht="17.25">
      <c r="A47" s="74" t="s">
        <v>102</v>
      </c>
      <c r="B47" s="75" t="s">
        <v>103</v>
      </c>
      <c r="C47" s="102" t="s">
        <v>104</v>
      </c>
      <c r="D47" s="83" t="s">
        <v>105</v>
      </c>
      <c r="E47" s="78">
        <v>331733.13</v>
      </c>
      <c r="F47" s="58">
        <v>653882.09999999998</v>
      </c>
      <c r="G47" s="78">
        <v>366079.70000000001</v>
      </c>
      <c r="H47" s="58">
        <v>33957.099999999999</v>
      </c>
      <c r="I47" s="129">
        <v>355655</v>
      </c>
      <c r="J47" s="130">
        <v>29494.959999999999</v>
      </c>
      <c r="K47" s="78">
        <f t="shared" ref="K47:K78" si="16">I47-E47</f>
        <v>23921.869999999995</v>
      </c>
      <c r="L47" s="58">
        <f t="shared" si="9"/>
        <v>-10424.700000000012</v>
      </c>
      <c r="M47" s="78">
        <f t="shared" ref="M47:M78" si="17">I47-F47</f>
        <v>-298227.09999999998</v>
      </c>
      <c r="N47" s="58">
        <f t="shared" ref="N47:N78" si="18">J47-H47</f>
        <v>-4462.1399999999994</v>
      </c>
      <c r="O47" s="79">
        <f t="shared" si="12"/>
        <v>1.0721117905829907</v>
      </c>
      <c r="P47" s="61">
        <f t="shared" si="13"/>
        <v>0.86859478577381466</v>
      </c>
      <c r="Q47" s="79">
        <f t="shared" si="14"/>
        <v>0.97152341416363697</v>
      </c>
      <c r="R47" s="80">
        <f t="shared" si="15"/>
        <v>0.5439130387572928</v>
      </c>
      <c r="S47" s="1"/>
      <c r="T47" s="1"/>
      <c r="U47" s="1"/>
      <c r="V47" s="1"/>
      <c r="W47" s="1"/>
      <c r="X47" s="1"/>
      <c r="Y47" s="1"/>
      <c r="Z47" s="1"/>
    </row>
    <row r="48" ht="17.25">
      <c r="A48" s="81"/>
      <c r="B48" s="82"/>
      <c r="C48" s="55" t="s">
        <v>106</v>
      </c>
      <c r="D48" s="86" t="s">
        <v>107</v>
      </c>
      <c r="E48" s="58">
        <v>230075.25</v>
      </c>
      <c r="F48" s="57">
        <v>423200.79999999999</v>
      </c>
      <c r="G48" s="58">
        <v>250692.89999999999</v>
      </c>
      <c r="H48" s="57">
        <v>28516.599999999999</v>
      </c>
      <c r="I48" s="130">
        <v>276877.03999999998</v>
      </c>
      <c r="J48" s="131">
        <v>32257.860000000001</v>
      </c>
      <c r="K48" s="58">
        <f t="shared" si="16"/>
        <v>46801.789999999979</v>
      </c>
      <c r="L48" s="57">
        <f t="shared" si="9"/>
        <v>26184.139999999985</v>
      </c>
      <c r="M48" s="58">
        <f t="shared" si="17"/>
        <v>-146323.76000000001</v>
      </c>
      <c r="N48" s="57">
        <f t="shared" si="18"/>
        <v>3741.260000000002</v>
      </c>
      <c r="O48" s="61">
        <f t="shared" si="12"/>
        <v>1.2034194899277517</v>
      </c>
      <c r="P48" s="60">
        <f t="shared" si="13"/>
        <v>1.1311958648646754</v>
      </c>
      <c r="Q48" s="61">
        <f t="shared" si="14"/>
        <v>1.1044470744883481</v>
      </c>
      <c r="R48" s="85">
        <f t="shared" si="15"/>
        <v>0.65424507704144219</v>
      </c>
      <c r="S48" s="1"/>
      <c r="T48" s="1"/>
      <c r="U48" s="1"/>
      <c r="V48" s="1"/>
      <c r="W48" s="1"/>
      <c r="X48" s="1"/>
      <c r="Y48" s="1"/>
      <c r="Z48" s="1"/>
    </row>
    <row r="49" ht="34.5">
      <c r="A49" s="81"/>
      <c r="B49" s="82"/>
      <c r="C49" s="63" t="s">
        <v>108</v>
      </c>
      <c r="D49" s="83" t="s">
        <v>109</v>
      </c>
      <c r="E49" s="57">
        <v>2310058.3999999999</v>
      </c>
      <c r="F49" s="58">
        <v>4515290.5999999996</v>
      </c>
      <c r="G49" s="57">
        <v>2510979.2999999998</v>
      </c>
      <c r="H49" s="57">
        <v>413246.70000000001</v>
      </c>
      <c r="I49" s="131">
        <v>2398073.77</v>
      </c>
      <c r="J49" s="130">
        <v>346655.07000000001</v>
      </c>
      <c r="K49" s="57">
        <f t="shared" si="16"/>
        <v>88015.370000000112</v>
      </c>
      <c r="L49" s="58">
        <f t="shared" si="9"/>
        <v>-112905.5299999998</v>
      </c>
      <c r="M49" s="57">
        <f t="shared" si="17"/>
        <v>-2117216.8299999996</v>
      </c>
      <c r="N49" s="59">
        <f t="shared" si="18"/>
        <v>-66591.630000000005</v>
      </c>
      <c r="O49" s="60">
        <f t="shared" si="12"/>
        <v>1.038100928530638</v>
      </c>
      <c r="P49" s="61">
        <f t="shared" si="13"/>
        <v>0.83885744278175722</v>
      </c>
      <c r="Q49" s="60">
        <f t="shared" si="14"/>
        <v>0.95503526054555699</v>
      </c>
      <c r="R49" s="85">
        <f t="shared" si="15"/>
        <v>0.5311006494244247</v>
      </c>
      <c r="S49" s="1"/>
      <c r="T49" s="1"/>
      <c r="U49" s="1"/>
      <c r="V49" s="1"/>
      <c r="W49" s="1"/>
      <c r="X49" s="1"/>
      <c r="Y49" s="1"/>
      <c r="Z49" s="1"/>
    </row>
    <row r="50" ht="34.5">
      <c r="A50" s="81"/>
      <c r="B50" s="82"/>
      <c r="C50" s="55" t="s">
        <v>110</v>
      </c>
      <c r="D50" s="86" t="s">
        <v>111</v>
      </c>
      <c r="E50" s="58">
        <v>483.77999999999997</v>
      </c>
      <c r="F50" s="57">
        <v>4371.8000000000002</v>
      </c>
      <c r="G50" s="57">
        <v>2040</v>
      </c>
      <c r="H50" s="58">
        <v>467.5</v>
      </c>
      <c r="I50" s="131">
        <v>1610.03</v>
      </c>
      <c r="J50" s="131">
        <v>476.72000000000003</v>
      </c>
      <c r="K50" s="58">
        <f t="shared" si="16"/>
        <v>1126.25</v>
      </c>
      <c r="L50" s="57">
        <f t="shared" si="9"/>
        <v>-429.97000000000003</v>
      </c>
      <c r="M50" s="58">
        <f t="shared" si="17"/>
        <v>-2761.7700000000004</v>
      </c>
      <c r="N50" s="57">
        <f t="shared" si="18"/>
        <v>9.2200000000000273</v>
      </c>
      <c r="O50" s="61">
        <f t="shared" si="12"/>
        <v>3.3280210012815745</v>
      </c>
      <c r="P50" s="60">
        <f t="shared" si="13"/>
        <v>1.01972192513369</v>
      </c>
      <c r="Q50" s="61">
        <f t="shared" si="14"/>
        <v>0.78923039215686275</v>
      </c>
      <c r="R50" s="85">
        <f t="shared" si="15"/>
        <v>0.36827622489592388</v>
      </c>
      <c r="S50" s="1"/>
      <c r="T50" s="1"/>
      <c r="U50" s="1"/>
      <c r="V50" s="1"/>
      <c r="W50" s="1"/>
      <c r="X50" s="1"/>
      <c r="Y50" s="1"/>
      <c r="Z50" s="1"/>
    </row>
    <row r="51" s="87" customFormat="1" ht="17.25">
      <c r="A51" s="88"/>
      <c r="B51" s="89"/>
      <c r="C51" s="90"/>
      <c r="D51" s="91" t="s">
        <v>56</v>
      </c>
      <c r="E51" s="92">
        <f>SUM(E47:E50)</f>
        <v>2872350.5599999996</v>
      </c>
      <c r="F51" s="92">
        <f>SUM(F47:F50)</f>
        <v>5596745.2999999998</v>
      </c>
      <c r="G51" s="92">
        <f>SUM(G47:G50)</f>
        <v>3129791.8999999999</v>
      </c>
      <c r="H51" s="92">
        <f>SUM(H47:H50)</f>
        <v>476187.90000000002</v>
      </c>
      <c r="I51" s="92">
        <f>SUM(I47:I50)</f>
        <v>3032215.8399999999</v>
      </c>
      <c r="J51" s="92">
        <f>SUM(J47:J50)</f>
        <v>408884.60999999999</v>
      </c>
      <c r="K51" s="92">
        <f t="shared" si="16"/>
        <v>159865.28000000026</v>
      </c>
      <c r="L51" s="92">
        <f t="shared" si="9"/>
        <v>-97576.060000000056</v>
      </c>
      <c r="M51" s="92">
        <f t="shared" si="17"/>
        <v>-2564529.46</v>
      </c>
      <c r="N51" s="92">
        <f t="shared" si="18"/>
        <v>-67303.290000000037</v>
      </c>
      <c r="O51" s="93">
        <f t="shared" si="12"/>
        <v>1.0556566048121927</v>
      </c>
      <c r="P51" s="93">
        <f t="shared" si="13"/>
        <v>0.85866232636318551</v>
      </c>
      <c r="Q51" s="93">
        <f t="shared" si="14"/>
        <v>0.96882346714489231</v>
      </c>
      <c r="R51" s="94">
        <f t="shared" si="15"/>
        <v>0.54178199604688104</v>
      </c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</row>
    <row r="52" ht="17.25">
      <c r="A52" s="95">
        <v>991</v>
      </c>
      <c r="B52" s="75" t="s">
        <v>112</v>
      </c>
      <c r="C52" s="106" t="s">
        <v>67</v>
      </c>
      <c r="D52" s="97" t="s">
        <v>113</v>
      </c>
      <c r="E52" s="58">
        <v>37147.160000000003</v>
      </c>
      <c r="F52" s="78">
        <v>66470.800000000003</v>
      </c>
      <c r="G52" s="58">
        <v>37500</v>
      </c>
      <c r="H52" s="78">
        <v>5600</v>
      </c>
      <c r="I52" s="78">
        <v>39743.18</v>
      </c>
      <c r="J52" s="58">
        <v>6686.3399999999992</v>
      </c>
      <c r="K52" s="78">
        <f t="shared" si="16"/>
        <v>2596.0199999999968</v>
      </c>
      <c r="L52" s="78">
        <f t="shared" si="9"/>
        <v>2243.1800000000003</v>
      </c>
      <c r="M52" s="58">
        <f t="shared" si="17"/>
        <v>-26727.620000000003</v>
      </c>
      <c r="N52" s="78">
        <f t="shared" si="18"/>
        <v>1086.3399999999992</v>
      </c>
      <c r="O52" s="61">
        <f t="shared" si="12"/>
        <v>1.0698847502743143</v>
      </c>
      <c r="P52" s="79">
        <f t="shared" si="13"/>
        <v>1.1939892857142855</v>
      </c>
      <c r="Q52" s="61">
        <f t="shared" si="14"/>
        <v>1.0598181333333334</v>
      </c>
      <c r="R52" s="80">
        <f t="shared" si="15"/>
        <v>0.59790434295961536</v>
      </c>
      <c r="S52" s="1"/>
      <c r="T52" s="1"/>
      <c r="U52" s="1"/>
      <c r="V52" s="1"/>
      <c r="W52" s="1"/>
      <c r="X52" s="1"/>
      <c r="Y52" s="1"/>
      <c r="Z52" s="1"/>
    </row>
    <row r="53" ht="17.25">
      <c r="A53" s="98"/>
      <c r="B53" s="82"/>
      <c r="C53" s="63" t="s">
        <v>114</v>
      </c>
      <c r="D53" s="83" t="s">
        <v>115</v>
      </c>
      <c r="E53" s="57">
        <v>6179.6099999999997</v>
      </c>
      <c r="F53" s="58">
        <v>0</v>
      </c>
      <c r="G53" s="57">
        <v>0</v>
      </c>
      <c r="H53" s="58">
        <v>0</v>
      </c>
      <c r="I53" s="57">
        <v>2923.3400000000001</v>
      </c>
      <c r="J53" s="57">
        <v>1109.5</v>
      </c>
      <c r="K53" s="58">
        <f t="shared" si="16"/>
        <v>-3256.2699999999995</v>
      </c>
      <c r="L53" s="57">
        <f t="shared" si="9"/>
        <v>2923.3400000000001</v>
      </c>
      <c r="M53" s="57">
        <f t="shared" si="17"/>
        <v>2923.3400000000001</v>
      </c>
      <c r="N53" s="58">
        <f t="shared" si="18"/>
        <v>1109.5</v>
      </c>
      <c r="O53" s="60">
        <f t="shared" si="12"/>
        <v>0.47306221590035624</v>
      </c>
      <c r="P53" s="61" t="str">
        <f t="shared" si="13"/>
        <v/>
      </c>
      <c r="Q53" s="60" t="str">
        <f t="shared" si="14"/>
        <v/>
      </c>
      <c r="R53" s="85" t="str">
        <f t="shared" si="15"/>
        <v/>
      </c>
      <c r="S53" s="1"/>
      <c r="T53" s="1"/>
      <c r="U53" s="1"/>
      <c r="V53" s="1"/>
      <c r="W53" s="1"/>
      <c r="X53" s="1"/>
      <c r="Y53" s="1"/>
      <c r="Z53" s="1"/>
    </row>
    <row r="54" s="87" customFormat="1" ht="17.25">
      <c r="A54" s="132"/>
      <c r="B54" s="89"/>
      <c r="C54" s="90"/>
      <c r="D54" s="91" t="s">
        <v>56</v>
      </c>
      <c r="E54" s="92">
        <f>SUM(E52:E53)</f>
        <v>43326.770000000004</v>
      </c>
      <c r="F54" s="92">
        <f>SUM(F52:F53)</f>
        <v>66470.800000000003</v>
      </c>
      <c r="G54" s="92">
        <f>SUM(G52:G53)</f>
        <v>37500</v>
      </c>
      <c r="H54" s="92">
        <f>SUM(H52:H53)</f>
        <v>5600</v>
      </c>
      <c r="I54" s="92">
        <f>SUM(I52:I53)</f>
        <v>42666.520000000004</v>
      </c>
      <c r="J54" s="92">
        <f>SUM(J52:J53)</f>
        <v>7795.8399999999992</v>
      </c>
      <c r="K54" s="92">
        <f t="shared" si="16"/>
        <v>-660.25</v>
      </c>
      <c r="L54" s="92">
        <f t="shared" si="9"/>
        <v>5166.5200000000041</v>
      </c>
      <c r="M54" s="92">
        <f t="shared" si="17"/>
        <v>-23804.279999999999</v>
      </c>
      <c r="N54" s="92">
        <f t="shared" si="18"/>
        <v>2195.8399999999992</v>
      </c>
      <c r="O54" s="93">
        <f t="shared" si="12"/>
        <v>0.98476115343931703</v>
      </c>
      <c r="P54" s="93">
        <f t="shared" si="13"/>
        <v>1.3921142857142856</v>
      </c>
      <c r="Q54" s="93">
        <f t="shared" si="14"/>
        <v>1.1377738666666668</v>
      </c>
      <c r="R54" s="94">
        <f t="shared" si="15"/>
        <v>0.64188365417596904</v>
      </c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</row>
    <row r="55" ht="17.25">
      <c r="A55" s="74" t="s">
        <v>116</v>
      </c>
      <c r="B55" s="75" t="s">
        <v>117</v>
      </c>
      <c r="C55" s="102" t="s">
        <v>118</v>
      </c>
      <c r="D55" s="83" t="s">
        <v>119</v>
      </c>
      <c r="E55" s="78">
        <v>21539.5</v>
      </c>
      <c r="F55" s="58">
        <f>24461.7+26624.3</f>
        <v>51086</v>
      </c>
      <c r="G55" s="78">
        <f>17744.4+21500</f>
        <v>39244.400000000001</v>
      </c>
      <c r="H55" s="58">
        <f>5501.1+21500</f>
        <v>27001.099999999999</v>
      </c>
      <c r="I55" s="78">
        <v>48741.829999999994</v>
      </c>
      <c r="J55" s="58">
        <v>9406.8299999999999</v>
      </c>
      <c r="K55" s="78">
        <f t="shared" si="16"/>
        <v>27202.329999999994</v>
      </c>
      <c r="L55" s="78">
        <f t="shared" si="9"/>
        <v>9497.429999999993</v>
      </c>
      <c r="M55" s="58">
        <f t="shared" si="17"/>
        <v>-2344.1700000000055</v>
      </c>
      <c r="N55" s="78">
        <f t="shared" si="18"/>
        <v>-17594.269999999997</v>
      </c>
      <c r="O55" s="133">
        <f t="shared" si="12"/>
        <v>2.2629044313934861</v>
      </c>
      <c r="P55" s="134">
        <f t="shared" si="13"/>
        <v>0.34838691757002493</v>
      </c>
      <c r="Q55" s="133">
        <f t="shared" si="14"/>
        <v>1.2420072672788982</v>
      </c>
      <c r="R55" s="80">
        <f t="shared" si="15"/>
        <v>0.95411325999295293</v>
      </c>
      <c r="S55" s="1"/>
      <c r="T55" s="1"/>
      <c r="U55" s="1"/>
      <c r="V55" s="1"/>
      <c r="W55" s="1"/>
      <c r="X55" s="1"/>
      <c r="Y55" s="1"/>
      <c r="Z55" s="1"/>
    </row>
    <row r="56" ht="17.25">
      <c r="A56" s="81"/>
      <c r="B56" s="82"/>
      <c r="C56" s="55" t="s">
        <v>120</v>
      </c>
      <c r="D56" s="86" t="s">
        <v>121</v>
      </c>
      <c r="E56" s="58">
        <v>31584.709999999999</v>
      </c>
      <c r="F56" s="57">
        <v>50550.300000000003</v>
      </c>
      <c r="G56" s="58">
        <v>11300</v>
      </c>
      <c r="H56" s="57">
        <v>4200</v>
      </c>
      <c r="I56" s="58">
        <v>65165.190000000002</v>
      </c>
      <c r="J56" s="57">
        <v>40838.019999999997</v>
      </c>
      <c r="K56" s="58">
        <f t="shared" si="16"/>
        <v>33580.480000000003</v>
      </c>
      <c r="L56" s="57">
        <f t="shared" si="9"/>
        <v>53865.190000000002</v>
      </c>
      <c r="M56" s="57">
        <f t="shared" si="17"/>
        <v>14614.889999999999</v>
      </c>
      <c r="N56" s="58">
        <f t="shared" si="18"/>
        <v>36638.019999999997</v>
      </c>
      <c r="O56" s="135">
        <f t="shared" si="12"/>
        <v>2.063187852603364</v>
      </c>
      <c r="P56" s="135">
        <f t="shared" si="13"/>
        <v>9.7233380952380948</v>
      </c>
      <c r="Q56" s="134">
        <f t="shared" si="14"/>
        <v>5.7668309734513272</v>
      </c>
      <c r="R56" s="85">
        <f t="shared" si="15"/>
        <v>1.2891157915976759</v>
      </c>
      <c r="S56" s="1"/>
      <c r="T56" s="1"/>
      <c r="U56" s="1"/>
      <c r="V56" s="1"/>
      <c r="W56" s="1"/>
      <c r="X56" s="1"/>
      <c r="Y56" s="1"/>
      <c r="Z56" s="1"/>
    </row>
    <row r="57" s="87" customFormat="1" ht="17.25">
      <c r="A57" s="88"/>
      <c r="B57" s="89"/>
      <c r="C57" s="90"/>
      <c r="D57" s="91" t="s">
        <v>56</v>
      </c>
      <c r="E57" s="92">
        <f>SUBTOTAL(9,E55:E56)</f>
        <v>53124.209999999999</v>
      </c>
      <c r="F57" s="92">
        <f>SUBTOTAL(9,F55:F56)</f>
        <v>101636.3</v>
      </c>
      <c r="G57" s="92">
        <f>SUBTOTAL(9,G55:G56)</f>
        <v>50544.400000000001</v>
      </c>
      <c r="H57" s="92">
        <f>SUBTOTAL(9,H55:H56)</f>
        <v>31201.099999999999</v>
      </c>
      <c r="I57" s="92">
        <f>SUBTOTAL(9,I55:I56)</f>
        <v>113907.01999999999</v>
      </c>
      <c r="J57" s="92">
        <f>SUBTOTAL(9,J55:J56)</f>
        <v>50244.849999999999</v>
      </c>
      <c r="K57" s="92">
        <f t="shared" si="16"/>
        <v>60782.80999999999</v>
      </c>
      <c r="L57" s="92">
        <f t="shared" si="9"/>
        <v>63362.619999999988</v>
      </c>
      <c r="M57" s="92">
        <f t="shared" si="17"/>
        <v>12270.719999999987</v>
      </c>
      <c r="N57" s="92">
        <f t="shared" si="18"/>
        <v>19043.75</v>
      </c>
      <c r="O57" s="93">
        <f t="shared" si="12"/>
        <v>2.1441640261568122</v>
      </c>
      <c r="P57" s="93">
        <f t="shared" si="13"/>
        <v>1.6103550836348719</v>
      </c>
      <c r="Q57" s="93">
        <f t="shared" si="14"/>
        <v>2.2536031686992026</v>
      </c>
      <c r="R57" s="94">
        <f t="shared" si="15"/>
        <v>1.1207316677210799</v>
      </c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</row>
    <row r="58" ht="17.25">
      <c r="A58" s="136"/>
      <c r="B58" s="123" t="s">
        <v>122</v>
      </c>
      <c r="C58" s="55" t="s">
        <v>123</v>
      </c>
      <c r="D58" s="137" t="s">
        <v>124</v>
      </c>
      <c r="E58" s="58">
        <v>224.05000000000001</v>
      </c>
      <c r="F58" s="78">
        <v>30.699999999999999</v>
      </c>
      <c r="G58" s="58">
        <v>30.699999999999999</v>
      </c>
      <c r="H58" s="78">
        <v>0</v>
      </c>
      <c r="I58" s="58">
        <v>2464.5500000000002</v>
      </c>
      <c r="J58" s="78">
        <v>248.24000000000001</v>
      </c>
      <c r="K58" s="58">
        <f t="shared" si="16"/>
        <v>2240.5</v>
      </c>
      <c r="L58" s="78">
        <f t="shared" si="9"/>
        <v>2433.8500000000004</v>
      </c>
      <c r="M58" s="58">
        <f t="shared" si="17"/>
        <v>2433.8500000000004</v>
      </c>
      <c r="N58" s="78">
        <f t="shared" si="18"/>
        <v>248.24000000000001</v>
      </c>
      <c r="O58" s="79">
        <f t="shared" si="12"/>
        <v>11</v>
      </c>
      <c r="P58" s="61" t="str">
        <f t="shared" si="13"/>
        <v/>
      </c>
      <c r="Q58" s="79">
        <f t="shared" si="14"/>
        <v>80.2785016286645</v>
      </c>
      <c r="R58" s="80">
        <f t="shared" si="15"/>
        <v>80.2785016286645</v>
      </c>
      <c r="S58" s="1"/>
      <c r="T58" s="1"/>
      <c r="U58" s="1"/>
      <c r="V58" s="1"/>
      <c r="W58" s="1"/>
      <c r="X58" s="1"/>
      <c r="Y58" s="1"/>
      <c r="Z58" s="1"/>
    </row>
    <row r="59" ht="17.25">
      <c r="A59" s="98"/>
      <c r="B59" s="124"/>
      <c r="C59" s="63" t="s">
        <v>88</v>
      </c>
      <c r="D59" s="83" t="s">
        <v>125</v>
      </c>
      <c r="E59" s="57">
        <v>639.22000000000003</v>
      </c>
      <c r="F59" s="59">
        <v>26</v>
      </c>
      <c r="G59" s="84">
        <v>26</v>
      </c>
      <c r="H59" s="59">
        <v>0</v>
      </c>
      <c r="I59" s="57">
        <v>1678.0900000000001</v>
      </c>
      <c r="J59" s="58">
        <v>138.25</v>
      </c>
      <c r="K59" s="57">
        <f t="shared" si="16"/>
        <v>1038.8700000000001</v>
      </c>
      <c r="L59" s="58">
        <f t="shared" si="9"/>
        <v>1652.0900000000001</v>
      </c>
      <c r="M59" s="57">
        <f t="shared" si="17"/>
        <v>1652.0900000000001</v>
      </c>
      <c r="N59" s="58">
        <f t="shared" si="18"/>
        <v>138.25</v>
      </c>
      <c r="O59" s="60">
        <f t="shared" si="12"/>
        <v>2.6252151059103284</v>
      </c>
      <c r="P59" s="60" t="str">
        <f t="shared" si="13"/>
        <v/>
      </c>
      <c r="Q59" s="61">
        <f t="shared" si="14"/>
        <v>64.541923076923084</v>
      </c>
      <c r="R59" s="138">
        <f t="shared" si="15"/>
        <v>64.541923076923084</v>
      </c>
      <c r="S59" s="1"/>
      <c r="T59" s="1"/>
      <c r="U59" s="1"/>
      <c r="V59" s="1"/>
      <c r="W59" s="1"/>
      <c r="X59" s="1"/>
      <c r="Y59" s="1"/>
      <c r="Z59" s="1"/>
    </row>
    <row r="60" ht="17.25">
      <c r="A60" s="98"/>
      <c r="B60" s="124"/>
      <c r="C60" s="55" t="s">
        <v>52</v>
      </c>
      <c r="D60" s="86" t="s">
        <v>53</v>
      </c>
      <c r="E60" s="58">
        <v>352.19999999999999</v>
      </c>
      <c r="F60" s="57">
        <v>371</v>
      </c>
      <c r="G60" s="58">
        <v>371</v>
      </c>
      <c r="H60" s="57">
        <v>0</v>
      </c>
      <c r="I60" s="58">
        <v>0</v>
      </c>
      <c r="J60" s="57">
        <v>0</v>
      </c>
      <c r="K60" s="58">
        <f t="shared" si="16"/>
        <v>-352.19999999999999</v>
      </c>
      <c r="L60" s="57">
        <f t="shared" si="9"/>
        <v>-371</v>
      </c>
      <c r="M60" s="58">
        <f t="shared" si="17"/>
        <v>-371</v>
      </c>
      <c r="N60" s="57">
        <f t="shared" si="18"/>
        <v>0</v>
      </c>
      <c r="O60" s="61">
        <f t="shared" si="12"/>
        <v>0</v>
      </c>
      <c r="P60" s="60" t="str">
        <f t="shared" si="13"/>
        <v/>
      </c>
      <c r="Q60" s="60">
        <f t="shared" si="14"/>
        <v>0</v>
      </c>
      <c r="R60" s="85">
        <f t="shared" si="15"/>
        <v>0</v>
      </c>
      <c r="S60" s="1"/>
      <c r="T60" s="1"/>
      <c r="U60" s="1"/>
      <c r="V60" s="1"/>
      <c r="W60" s="1"/>
      <c r="X60" s="1"/>
      <c r="Y60" s="1"/>
      <c r="Z60" s="1"/>
    </row>
    <row r="61" ht="34.5">
      <c r="A61" s="98"/>
      <c r="B61" s="124"/>
      <c r="C61" s="63" t="s">
        <v>126</v>
      </c>
      <c r="D61" s="83" t="s">
        <v>127</v>
      </c>
      <c r="E61" s="57">
        <v>58015</v>
      </c>
      <c r="F61" s="58">
        <f>8722.7+46498.4</f>
        <v>55221.100000000006</v>
      </c>
      <c r="G61" s="57">
        <f>2361.2+32411.6+4355</f>
        <v>39127.799999999996</v>
      </c>
      <c r="H61" s="58">
        <f>1171.7+32411.6+4355</f>
        <v>37938.299999999996</v>
      </c>
      <c r="I61" s="57">
        <v>53668.82</v>
      </c>
      <c r="J61" s="58">
        <v>3707.5999999999999</v>
      </c>
      <c r="K61" s="57">
        <f t="shared" si="16"/>
        <v>-4346.1800000000003</v>
      </c>
      <c r="L61" s="58">
        <f t="shared" si="9"/>
        <v>14541.020000000004</v>
      </c>
      <c r="M61" s="57">
        <f t="shared" si="17"/>
        <v>-1552.2800000000061</v>
      </c>
      <c r="N61" s="58">
        <f t="shared" si="18"/>
        <v>-34230.699999999997</v>
      </c>
      <c r="O61" s="60">
        <f t="shared" si="12"/>
        <v>0.92508523657674735</v>
      </c>
      <c r="P61" s="61">
        <f t="shared" si="13"/>
        <v>0.097727099000218781</v>
      </c>
      <c r="Q61" s="60">
        <f t="shared" si="14"/>
        <v>1.3716288674548531</v>
      </c>
      <c r="R61" s="85">
        <f t="shared" si="15"/>
        <v>0.97188973055589245</v>
      </c>
      <c r="S61" s="1"/>
      <c r="T61" s="1"/>
      <c r="U61" s="1"/>
      <c r="V61" s="1"/>
      <c r="W61" s="1"/>
      <c r="X61" s="1"/>
      <c r="Y61" s="1"/>
      <c r="Z61" s="1"/>
    </row>
    <row r="62" ht="17.25">
      <c r="A62" s="98"/>
      <c r="B62" s="124"/>
      <c r="C62" s="55" t="s">
        <v>54</v>
      </c>
      <c r="D62" s="86" t="s">
        <v>55</v>
      </c>
      <c r="E62" s="58">
        <v>79958</v>
      </c>
      <c r="F62" s="57">
        <f>103985.4+109296.2</f>
        <v>213281.59999999998</v>
      </c>
      <c r="G62" s="58">
        <f>55483+18215.1</f>
        <v>73698.100000000006</v>
      </c>
      <c r="H62" s="57">
        <f>9966.2+18215.1</f>
        <v>28181.299999999999</v>
      </c>
      <c r="I62" s="58">
        <v>112561.10000000001</v>
      </c>
      <c r="J62" s="57">
        <v>17719.919999999998</v>
      </c>
      <c r="K62" s="58">
        <f t="shared" si="16"/>
        <v>32603.100000000006</v>
      </c>
      <c r="L62" s="57">
        <f t="shared" si="9"/>
        <v>38863</v>
      </c>
      <c r="M62" s="58">
        <f t="shared" si="17"/>
        <v>-100720.49999999997</v>
      </c>
      <c r="N62" s="57">
        <f t="shared" si="18"/>
        <v>-10461.380000000001</v>
      </c>
      <c r="O62" s="61">
        <f t="shared" si="12"/>
        <v>1.4077528202306211</v>
      </c>
      <c r="P62" s="60">
        <f t="shared" si="13"/>
        <v>0.62878291633104222</v>
      </c>
      <c r="Q62" s="61">
        <f t="shared" si="14"/>
        <v>1.5273270274267585</v>
      </c>
      <c r="R62" s="85">
        <f t="shared" si="15"/>
        <v>0.52775813759836765</v>
      </c>
      <c r="S62" s="1"/>
      <c r="T62" s="1"/>
      <c r="U62" s="1"/>
      <c r="V62" s="1"/>
      <c r="W62" s="1"/>
      <c r="X62" s="1"/>
      <c r="Y62" s="1"/>
      <c r="Z62" s="1"/>
    </row>
    <row r="63" ht="17.25">
      <c r="A63" s="98"/>
      <c r="B63" s="124"/>
      <c r="C63" s="63" t="s">
        <v>128</v>
      </c>
      <c r="D63" s="83" t="s">
        <v>129</v>
      </c>
      <c r="E63" s="57">
        <v>-116.20999999999999</v>
      </c>
      <c r="F63" s="58">
        <v>0</v>
      </c>
      <c r="G63" s="57">
        <v>0</v>
      </c>
      <c r="H63" s="58">
        <v>0</v>
      </c>
      <c r="I63" s="57">
        <v>98.930000000000007</v>
      </c>
      <c r="J63" s="58">
        <v>-44.140000000000001</v>
      </c>
      <c r="K63" s="57">
        <f t="shared" si="16"/>
        <v>215.13999999999999</v>
      </c>
      <c r="L63" s="58">
        <f t="shared" si="9"/>
        <v>98.930000000000007</v>
      </c>
      <c r="M63" s="57">
        <f t="shared" si="17"/>
        <v>98.930000000000007</v>
      </c>
      <c r="N63" s="58">
        <f t="shared" si="18"/>
        <v>-44.140000000000001</v>
      </c>
      <c r="O63" s="60">
        <f t="shared" si="12"/>
        <v>-0.85130367438258336</v>
      </c>
      <c r="P63" s="61" t="str">
        <f t="shared" si="13"/>
        <v/>
      </c>
      <c r="Q63" s="60" t="str">
        <f t="shared" si="14"/>
        <v/>
      </c>
      <c r="R63" s="85" t="str">
        <f t="shared" si="15"/>
        <v/>
      </c>
      <c r="S63" s="1"/>
      <c r="T63" s="1"/>
      <c r="U63" s="1"/>
      <c r="V63" s="1"/>
      <c r="W63" s="1"/>
      <c r="X63" s="1"/>
      <c r="Y63" s="1"/>
      <c r="Z63" s="1"/>
    </row>
    <row r="64" ht="17.25">
      <c r="A64" s="98"/>
      <c r="B64" s="124"/>
      <c r="C64" s="55" t="s">
        <v>130</v>
      </c>
      <c r="D64" s="86" t="s">
        <v>131</v>
      </c>
      <c r="E64" s="58">
        <v>824</v>
      </c>
      <c r="F64" s="57">
        <v>38614.970000000001</v>
      </c>
      <c r="G64" s="58">
        <v>38614.970000000001</v>
      </c>
      <c r="H64" s="57">
        <v>38614.970000000001</v>
      </c>
      <c r="I64" s="58">
        <v>40308.269999999997</v>
      </c>
      <c r="J64" s="57">
        <v>876.59000000000003</v>
      </c>
      <c r="K64" s="58">
        <f t="shared" si="16"/>
        <v>39484.269999999997</v>
      </c>
      <c r="L64" s="57">
        <f t="shared" si="9"/>
        <v>1693.2999999999956</v>
      </c>
      <c r="M64" s="58">
        <f t="shared" si="17"/>
        <v>1693.2999999999956</v>
      </c>
      <c r="N64" s="57">
        <f t="shared" si="18"/>
        <v>-37738.380000000005</v>
      </c>
      <c r="O64" s="61">
        <f t="shared" si="12"/>
        <v>48.917803398058247</v>
      </c>
      <c r="P64" s="60">
        <f t="shared" si="13"/>
        <v>0.022700781588073225</v>
      </c>
      <c r="Q64" s="61">
        <f t="shared" si="14"/>
        <v>1.0438508692354285</v>
      </c>
      <c r="R64" s="85">
        <f t="shared" si="15"/>
        <v>1.0438508692354285</v>
      </c>
      <c r="S64" s="1"/>
      <c r="T64" s="1"/>
      <c r="U64" s="1"/>
      <c r="V64" s="1"/>
      <c r="W64" s="1"/>
      <c r="X64" s="1"/>
      <c r="Y64" s="1"/>
      <c r="Z64" s="1"/>
    </row>
    <row r="65" ht="22.5">
      <c r="A65" s="98"/>
      <c r="B65" s="124"/>
      <c r="C65" s="63" t="s">
        <v>132</v>
      </c>
      <c r="D65" s="83" t="s">
        <v>133</v>
      </c>
      <c r="E65" s="57">
        <v>619.54999999999995</v>
      </c>
      <c r="F65" s="58">
        <v>0</v>
      </c>
      <c r="G65" s="57">
        <v>0</v>
      </c>
      <c r="H65" s="58">
        <v>0</v>
      </c>
      <c r="I65" s="57">
        <v>5852.1199999999999</v>
      </c>
      <c r="J65" s="58">
        <v>0</v>
      </c>
      <c r="K65" s="57">
        <f t="shared" si="16"/>
        <v>5232.5699999999997</v>
      </c>
      <c r="L65" s="58">
        <f t="shared" si="9"/>
        <v>5852.1199999999999</v>
      </c>
      <c r="M65" s="57">
        <f t="shared" si="17"/>
        <v>5852.1199999999999</v>
      </c>
      <c r="N65" s="58">
        <f t="shared" si="18"/>
        <v>0</v>
      </c>
      <c r="O65" s="60">
        <f t="shared" si="12"/>
        <v>9.4457590186425637</v>
      </c>
      <c r="P65" s="61" t="str">
        <f t="shared" si="13"/>
        <v/>
      </c>
      <c r="Q65" s="60" t="str">
        <f t="shared" si="14"/>
        <v/>
      </c>
      <c r="R65" s="85" t="str">
        <f t="shared" si="15"/>
        <v/>
      </c>
      <c r="S65" s="1"/>
      <c r="T65" s="1"/>
      <c r="U65" s="1"/>
      <c r="V65" s="1"/>
      <c r="W65" s="1"/>
      <c r="X65" s="1"/>
      <c r="Y65" s="1"/>
      <c r="Z65" s="1"/>
    </row>
    <row r="66" s="87" customFormat="1" ht="15">
      <c r="A66" s="132"/>
      <c r="B66" s="139"/>
      <c r="C66" s="90"/>
      <c r="D66" s="91" t="s">
        <v>56</v>
      </c>
      <c r="E66" s="92">
        <f>SUM(E58:E65)</f>
        <v>140515.81</v>
      </c>
      <c r="F66" s="92">
        <f>SUM(F58:F65)</f>
        <v>307545.37</v>
      </c>
      <c r="G66" s="92">
        <f>SUM(G58:G65)</f>
        <v>151868.57000000001</v>
      </c>
      <c r="H66" s="92">
        <f>SUM(H58:H65)</f>
        <v>104734.56999999999</v>
      </c>
      <c r="I66" s="92">
        <f>SUM(I58:I65)</f>
        <v>216631.87999999998</v>
      </c>
      <c r="J66" s="92">
        <f>SUM(J58:J65)</f>
        <v>22646.459999999999</v>
      </c>
      <c r="K66" s="92">
        <f t="shared" si="16"/>
        <v>76116.069999999978</v>
      </c>
      <c r="L66" s="92">
        <f t="shared" si="9"/>
        <v>64763.309999999969</v>
      </c>
      <c r="M66" s="92">
        <f t="shared" si="17"/>
        <v>-90913.49000000002</v>
      </c>
      <c r="N66" s="92">
        <f t="shared" si="18"/>
        <v>-82088.109999999986</v>
      </c>
      <c r="O66" s="93">
        <f t="shared" si="12"/>
        <v>1.5416904332686834</v>
      </c>
      <c r="P66" s="93">
        <f t="shared" si="13"/>
        <v>0.21622717312917789</v>
      </c>
      <c r="Q66" s="93">
        <f t="shared" si="14"/>
        <v>1.4264431409342957</v>
      </c>
      <c r="R66" s="94">
        <f t="shared" si="15"/>
        <v>0.70438998967859601</v>
      </c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</row>
    <row r="67" s="44" customFormat="1" ht="42" customHeight="1">
      <c r="A67" s="140"/>
      <c r="B67" s="141" t="s">
        <v>134</v>
      </c>
      <c r="C67" s="142"/>
      <c r="D67" s="143"/>
      <c r="E67" s="144">
        <f>E5+E17</f>
        <v>16585306.211343281</v>
      </c>
      <c r="F67" s="144">
        <f>F5+F17</f>
        <v>35893709.970000006</v>
      </c>
      <c r="G67" s="144">
        <f>G5+G17</f>
        <v>18297066.370000001</v>
      </c>
      <c r="H67" s="144">
        <f>H5+H17</f>
        <v>4654745.3700000001</v>
      </c>
      <c r="I67" s="144">
        <f>I5+I17</f>
        <v>17793359.640000001</v>
      </c>
      <c r="J67" s="144">
        <f>J5+J17</f>
        <v>3825920.1399999997</v>
      </c>
      <c r="K67" s="144">
        <f t="shared" si="16"/>
        <v>1208053.4286567196</v>
      </c>
      <c r="L67" s="144">
        <f t="shared" si="9"/>
        <v>-503706.73000000045</v>
      </c>
      <c r="M67" s="144">
        <f t="shared" si="17"/>
        <v>-18100350.330000006</v>
      </c>
      <c r="N67" s="144">
        <f t="shared" si="18"/>
        <v>-828825.23000000045</v>
      </c>
      <c r="O67" s="145">
        <f t="shared" si="12"/>
        <v>1.0728387774854882</v>
      </c>
      <c r="P67" s="145">
        <f t="shared" si="13"/>
        <v>0.82193972728523268</v>
      </c>
      <c r="Q67" s="145">
        <f t="shared" si="14"/>
        <v>0.97247062890770941</v>
      </c>
      <c r="R67" s="146">
        <f t="shared" si="15"/>
        <v>0.49572361438457341</v>
      </c>
      <c r="S67" s="44"/>
      <c r="T67" s="44"/>
      <c r="U67" s="44"/>
      <c r="V67" s="44"/>
      <c r="W67" s="44"/>
      <c r="X67" s="44"/>
      <c r="Y67" s="44"/>
      <c r="Z67" s="44"/>
    </row>
    <row r="68" s="44" customFormat="1" ht="21.75" customHeight="1">
      <c r="A68" s="147"/>
      <c r="B68" s="148" t="s">
        <v>135</v>
      </c>
      <c r="C68" s="149"/>
      <c r="D68" s="150"/>
      <c r="E68" s="151">
        <f>SUM(E69:E77)</f>
        <v>15352397.329999998</v>
      </c>
      <c r="F68" s="152">
        <f>SUM(F69:F77)</f>
        <v>26323476.939999998</v>
      </c>
      <c r="G68" s="151">
        <f>SUM(G69:G77)</f>
        <v>14685630.049999999</v>
      </c>
      <c r="H68" s="152">
        <f>SUM(H69:H77)</f>
        <v>1829485.1499999997</v>
      </c>
      <c r="I68" s="151">
        <f>SUM(I69:I77)</f>
        <v>14642124.77</v>
      </c>
      <c r="J68" s="152">
        <f>SUM(J69:J77)</f>
        <v>1749992.9399999997</v>
      </c>
      <c r="K68" s="151">
        <f t="shared" si="16"/>
        <v>-710272.55999999866</v>
      </c>
      <c r="L68" s="152">
        <f t="shared" si="9"/>
        <v>-43505.279999999329</v>
      </c>
      <c r="M68" s="151">
        <f t="shared" si="17"/>
        <v>-11681352.169999998</v>
      </c>
      <c r="N68" s="152">
        <f t="shared" si="18"/>
        <v>-79492.209999999963</v>
      </c>
      <c r="O68" s="51">
        <f t="shared" si="12"/>
        <v>0.95373539749312897</v>
      </c>
      <c r="P68" s="153">
        <f t="shared" si="13"/>
        <v>0.95654940954289791</v>
      </c>
      <c r="Q68" s="51">
        <f t="shared" si="14"/>
        <v>0.99703756121787912</v>
      </c>
      <c r="R68" s="154">
        <f t="shared" si="15"/>
        <v>0.55623825087294876</v>
      </c>
      <c r="S68" s="44"/>
      <c r="T68" s="44"/>
      <c r="U68" s="44"/>
      <c r="V68" s="44"/>
      <c r="W68" s="44"/>
      <c r="X68" s="44"/>
      <c r="Y68" s="44"/>
      <c r="Z68" s="44"/>
    </row>
    <row r="69" ht="22.5">
      <c r="A69" s="53"/>
      <c r="B69" s="155"/>
      <c r="C69" s="63" t="s">
        <v>136</v>
      </c>
      <c r="D69" s="156" t="s">
        <v>137</v>
      </c>
      <c r="E69" s="57">
        <v>217715.60000000001</v>
      </c>
      <c r="F69" s="58">
        <f>415518.3+34014.9</f>
        <v>449533.20000000001</v>
      </c>
      <c r="G69" s="57">
        <f>265314.7+34014.9</f>
        <v>299329.60000000003</v>
      </c>
      <c r="H69" s="58">
        <v>34014.900000000001</v>
      </c>
      <c r="I69" s="57">
        <v>299329.59999999998</v>
      </c>
      <c r="J69" s="58">
        <v>0</v>
      </c>
      <c r="K69" s="57">
        <f t="shared" si="16"/>
        <v>81613.999999999971</v>
      </c>
      <c r="L69" s="58">
        <f t="shared" si="9"/>
        <v>-5.8207660913467407e-11</v>
      </c>
      <c r="M69" s="57">
        <f t="shared" si="17"/>
        <v>-150203.60000000003</v>
      </c>
      <c r="N69" s="58">
        <f t="shared" si="18"/>
        <v>-34014.900000000001</v>
      </c>
      <c r="O69" s="60">
        <f t="shared" si="12"/>
        <v>1.3748651911025207</v>
      </c>
      <c r="P69" s="61">
        <f t="shared" si="13"/>
        <v>0</v>
      </c>
      <c r="Q69" s="60">
        <f t="shared" si="14"/>
        <v>0.99999999999999978</v>
      </c>
      <c r="R69" s="60">
        <f t="shared" si="15"/>
        <v>0.66586761556209861</v>
      </c>
      <c r="S69" s="1"/>
      <c r="T69" s="1"/>
      <c r="U69" s="1"/>
      <c r="V69" s="1"/>
      <c r="W69" s="1"/>
      <c r="X69" s="1"/>
      <c r="Y69" s="1"/>
      <c r="Z69" s="1"/>
    </row>
    <row r="70" ht="18" customHeight="1">
      <c r="A70" s="62"/>
      <c r="B70" s="157"/>
      <c r="C70" s="55" t="s">
        <v>138</v>
      </c>
      <c r="D70" s="158" t="s">
        <v>139</v>
      </c>
      <c r="E70" s="58">
        <v>3356987.3599999999</v>
      </c>
      <c r="F70" s="57">
        <v>6681476.2000000002</v>
      </c>
      <c r="G70" s="58">
        <v>2057945.0699999998</v>
      </c>
      <c r="H70" s="57">
        <v>529259.97999999998</v>
      </c>
      <c r="I70" s="58">
        <v>2057945.0699999998</v>
      </c>
      <c r="J70" s="57">
        <v>529259.97999999998</v>
      </c>
      <c r="K70" s="58">
        <f t="shared" si="16"/>
        <v>-1299042.29</v>
      </c>
      <c r="L70" s="57">
        <f t="shared" si="9"/>
        <v>0</v>
      </c>
      <c r="M70" s="58">
        <f t="shared" si="17"/>
        <v>-4623531.1300000008</v>
      </c>
      <c r="N70" s="57">
        <f t="shared" si="18"/>
        <v>0</v>
      </c>
      <c r="O70" s="61">
        <f t="shared" si="12"/>
        <v>0.61303330912750287</v>
      </c>
      <c r="P70" s="60">
        <f t="shared" si="13"/>
        <v>1</v>
      </c>
      <c r="Q70" s="61">
        <f t="shared" si="14"/>
        <v>1</v>
      </c>
      <c r="R70" s="60">
        <f t="shared" si="15"/>
        <v>0.30800754330308022</v>
      </c>
      <c r="S70" s="1"/>
      <c r="T70" s="1"/>
      <c r="U70" s="1"/>
      <c r="V70" s="1"/>
      <c r="W70" s="1"/>
      <c r="X70" s="1"/>
      <c r="Y70" s="1"/>
      <c r="Z70" s="1"/>
    </row>
    <row r="71" ht="16.5" customHeight="1">
      <c r="A71" s="62"/>
      <c r="B71" s="157"/>
      <c r="C71" s="63" t="s">
        <v>140</v>
      </c>
      <c r="D71" s="156" t="s">
        <v>141</v>
      </c>
      <c r="E71" s="57">
        <v>8450918.9900000002</v>
      </c>
      <c r="F71" s="58">
        <v>15931150.829999998</v>
      </c>
      <c r="G71" s="57">
        <v>10050205.93</v>
      </c>
      <c r="H71" s="58">
        <v>1147698.8199999998</v>
      </c>
      <c r="I71" s="57">
        <v>10050205.93</v>
      </c>
      <c r="J71" s="59">
        <v>1147698.8199999998</v>
      </c>
      <c r="K71" s="57">
        <f t="shared" si="16"/>
        <v>1599286.9399999995</v>
      </c>
      <c r="L71" s="58">
        <f t="shared" si="9"/>
        <v>0</v>
      </c>
      <c r="M71" s="57">
        <f t="shared" si="17"/>
        <v>-5880944.8999999985</v>
      </c>
      <c r="N71" s="58">
        <f t="shared" si="18"/>
        <v>0</v>
      </c>
      <c r="O71" s="60">
        <f t="shared" si="12"/>
        <v>1.1892441451506566</v>
      </c>
      <c r="P71" s="61">
        <f t="shared" si="13"/>
        <v>1</v>
      </c>
      <c r="Q71" s="60">
        <f t="shared" si="14"/>
        <v>1</v>
      </c>
      <c r="R71" s="60">
        <f t="shared" si="15"/>
        <v>0.6308524749558222</v>
      </c>
      <c r="S71" s="1"/>
      <c r="T71" s="1"/>
      <c r="U71" s="1"/>
      <c r="V71" s="1"/>
      <c r="W71" s="1"/>
      <c r="X71" s="1"/>
      <c r="Y71" s="1"/>
      <c r="Z71" s="1"/>
    </row>
    <row r="72" ht="22.5">
      <c r="A72" s="62"/>
      <c r="B72" s="157"/>
      <c r="C72" s="55" t="s">
        <v>142</v>
      </c>
      <c r="D72" s="159" t="s">
        <v>143</v>
      </c>
      <c r="E72" s="58">
        <v>2441605.5099999998</v>
      </c>
      <c r="F72" s="57">
        <v>3209835.8199999998</v>
      </c>
      <c r="G72" s="58">
        <v>2226668.5600000001</v>
      </c>
      <c r="H72" s="57">
        <v>73675.160000000003</v>
      </c>
      <c r="I72" s="58">
        <v>2226668.5600000001</v>
      </c>
      <c r="J72" s="57">
        <v>73675.160000000003</v>
      </c>
      <c r="K72" s="58">
        <f t="shared" si="16"/>
        <v>-214936.94999999972</v>
      </c>
      <c r="L72" s="57">
        <f t="shared" si="9"/>
        <v>0</v>
      </c>
      <c r="M72" s="58">
        <f t="shared" si="17"/>
        <v>-983167.25999999978</v>
      </c>
      <c r="N72" s="57">
        <f t="shared" si="18"/>
        <v>0</v>
      </c>
      <c r="O72" s="61">
        <f t="shared" si="12"/>
        <v>0.91196901009614784</v>
      </c>
      <c r="P72" s="60">
        <f t="shared" si="13"/>
        <v>1</v>
      </c>
      <c r="Q72" s="61">
        <f t="shared" si="14"/>
        <v>1</v>
      </c>
      <c r="R72" s="60">
        <f t="shared" si="15"/>
        <v>0.69370169842518614</v>
      </c>
      <c r="S72" s="1"/>
      <c r="T72" s="1"/>
      <c r="U72" s="1"/>
      <c r="V72" s="1"/>
      <c r="W72" s="1"/>
      <c r="X72" s="1"/>
      <c r="Y72" s="1"/>
      <c r="Z72" s="1"/>
    </row>
    <row r="73" ht="33">
      <c r="A73" s="62"/>
      <c r="B73" s="157"/>
      <c r="C73" s="63" t="s">
        <v>144</v>
      </c>
      <c r="D73" s="160" t="s">
        <v>145</v>
      </c>
      <c r="E73" s="57">
        <v>446.22000000000003</v>
      </c>
      <c r="F73" s="58">
        <v>0</v>
      </c>
      <c r="G73" s="57">
        <v>0</v>
      </c>
      <c r="H73" s="58">
        <v>0</v>
      </c>
      <c r="I73" s="57">
        <v>7534.4099999999999</v>
      </c>
      <c r="J73" s="58">
        <v>370</v>
      </c>
      <c r="K73" s="57">
        <f t="shared" si="16"/>
        <v>7088.1899999999996</v>
      </c>
      <c r="L73" s="58">
        <f t="shared" si="9"/>
        <v>7534.4099999999999</v>
      </c>
      <c r="M73" s="57">
        <f t="shared" si="17"/>
        <v>7534.4099999999999</v>
      </c>
      <c r="N73" s="58">
        <f t="shared" si="18"/>
        <v>370</v>
      </c>
      <c r="O73" s="161">
        <f t="shared" si="12"/>
        <v>16.884967056608847</v>
      </c>
      <c r="P73" s="61" t="str">
        <f t="shared" si="13"/>
        <v/>
      </c>
      <c r="Q73" s="60" t="str">
        <f t="shared" si="14"/>
        <v/>
      </c>
      <c r="R73" s="60" t="str">
        <f t="shared" si="15"/>
        <v/>
      </c>
      <c r="S73" s="1"/>
      <c r="T73" s="1"/>
      <c r="U73" s="1"/>
      <c r="V73" s="1"/>
      <c r="W73" s="1"/>
      <c r="X73" s="1"/>
      <c r="Y73" s="1"/>
      <c r="Z73" s="1"/>
    </row>
    <row r="74" ht="19.5" customHeight="1">
      <c r="A74" s="62"/>
      <c r="B74" s="157"/>
      <c r="C74" s="55" t="s">
        <v>146</v>
      </c>
      <c r="D74" s="159" t="s">
        <v>147</v>
      </c>
      <c r="E74" s="57">
        <v>931777.56999999995</v>
      </c>
      <c r="F74" s="57">
        <v>44836.290000000001</v>
      </c>
      <c r="G74" s="57">
        <v>44836.290000000001</v>
      </c>
      <c r="H74" s="57">
        <v>44836.290000000001</v>
      </c>
      <c r="I74" s="57">
        <v>44836.290000000001</v>
      </c>
      <c r="J74" s="57">
        <v>0</v>
      </c>
      <c r="K74" s="57">
        <f t="shared" si="16"/>
        <v>-886941.27999999991</v>
      </c>
      <c r="L74" s="57">
        <f t="shared" ref="L74:L78" si="19">I74-G74</f>
        <v>0</v>
      </c>
      <c r="M74" s="57">
        <f t="shared" si="17"/>
        <v>0</v>
      </c>
      <c r="N74" s="57">
        <f t="shared" si="18"/>
        <v>-44836.290000000001</v>
      </c>
      <c r="O74" s="60">
        <f t="shared" ref="O74:O78" si="20">IFERROR(I74/E74,"")</f>
        <v>0.048119091340651184</v>
      </c>
      <c r="P74" s="60">
        <f t="shared" ref="P74:P78" si="21">IFERROR(J74/H74,"")</f>
        <v>0</v>
      </c>
      <c r="Q74" s="60">
        <f t="shared" ref="Q74:Q78" si="22">IFERROR(I74/G74,"")</f>
        <v>1</v>
      </c>
      <c r="R74" s="60">
        <f t="shared" ref="R74:R78" si="23">IFERROR(I74/F74,"")</f>
        <v>1</v>
      </c>
      <c r="S74" s="1"/>
      <c r="T74" s="1"/>
      <c r="U74" s="1"/>
      <c r="V74" s="1"/>
      <c r="W74" s="1"/>
      <c r="X74" s="1"/>
      <c r="Y74" s="1"/>
      <c r="Z74" s="1"/>
    </row>
    <row r="75" ht="30" customHeight="1">
      <c r="A75" s="45"/>
      <c r="B75" s="157"/>
      <c r="C75" s="63" t="s">
        <v>148</v>
      </c>
      <c r="D75" s="162" t="s">
        <v>149</v>
      </c>
      <c r="E75" s="65">
        <v>-22.800000000000001</v>
      </c>
      <c r="F75" s="66">
        <v>0</v>
      </c>
      <c r="G75" s="65">
        <v>0</v>
      </c>
      <c r="H75" s="66">
        <v>0</v>
      </c>
      <c r="I75" s="65">
        <v>-86.019999999999996</v>
      </c>
      <c r="J75" s="66">
        <v>-86.019999999999996</v>
      </c>
      <c r="K75" s="65">
        <f t="shared" si="16"/>
        <v>-63.219999999999999</v>
      </c>
      <c r="L75" s="66">
        <f t="shared" si="19"/>
        <v>-86.019999999999996</v>
      </c>
      <c r="M75" s="65">
        <f t="shared" si="17"/>
        <v>-86.019999999999996</v>
      </c>
      <c r="N75" s="66">
        <f t="shared" si="18"/>
        <v>-86.019999999999996</v>
      </c>
      <c r="O75" s="163">
        <f t="shared" si="20"/>
        <v>3.7728070175438595</v>
      </c>
      <c r="P75" s="61" t="str">
        <f t="shared" si="21"/>
        <v/>
      </c>
      <c r="Q75" s="60" t="str">
        <f t="shared" si="22"/>
        <v/>
      </c>
      <c r="R75" s="60" t="str">
        <f t="shared" si="23"/>
        <v/>
      </c>
      <c r="S75" s="1"/>
      <c r="T75" s="1"/>
      <c r="U75" s="1"/>
      <c r="V75" s="1"/>
      <c r="W75" s="1"/>
      <c r="X75" s="1"/>
      <c r="Y75" s="1"/>
      <c r="Z75" s="1"/>
    </row>
    <row r="76" ht="33">
      <c r="A76" s="62"/>
      <c r="B76" s="157"/>
      <c r="C76" s="55" t="s">
        <v>150</v>
      </c>
      <c r="D76" s="164" t="s">
        <v>151</v>
      </c>
      <c r="E76" s="58">
        <v>80853.289999999994</v>
      </c>
      <c r="F76" s="57">
        <v>6644.5999999999995</v>
      </c>
      <c r="G76" s="165">
        <v>6644.5999999999995</v>
      </c>
      <c r="H76" s="57">
        <v>0</v>
      </c>
      <c r="I76" s="58">
        <v>27620.330000000002</v>
      </c>
      <c r="J76" s="57">
        <v>1068.1600000000001</v>
      </c>
      <c r="K76" s="58">
        <f t="shared" si="16"/>
        <v>-53232.959999999992</v>
      </c>
      <c r="L76" s="57">
        <f t="shared" si="19"/>
        <v>20975.730000000003</v>
      </c>
      <c r="M76" s="58">
        <f t="shared" si="17"/>
        <v>20975.730000000003</v>
      </c>
      <c r="N76" s="57">
        <f t="shared" si="18"/>
        <v>1068.1600000000001</v>
      </c>
      <c r="O76" s="61">
        <f t="shared" si="20"/>
        <v>0.34161046507816817</v>
      </c>
      <c r="P76" s="60" t="str">
        <f t="shared" si="21"/>
        <v/>
      </c>
      <c r="Q76" s="61">
        <f t="shared" si="22"/>
        <v>4.1568085362550047</v>
      </c>
      <c r="R76" s="60">
        <f t="shared" si="23"/>
        <v>4.1568085362550047</v>
      </c>
      <c r="S76" s="1"/>
      <c r="T76" s="1"/>
      <c r="U76" s="1"/>
      <c r="V76" s="1"/>
      <c r="W76" s="1"/>
      <c r="X76" s="1"/>
      <c r="Y76" s="1"/>
      <c r="Z76" s="1"/>
    </row>
    <row r="77" ht="14.25" customHeight="1">
      <c r="A77" s="62"/>
      <c r="B77" s="157"/>
      <c r="C77" s="63" t="s">
        <v>152</v>
      </c>
      <c r="D77" s="166" t="s">
        <v>153</v>
      </c>
      <c r="E77" s="57">
        <v>-127884.41</v>
      </c>
      <c r="F77" s="58">
        <v>0</v>
      </c>
      <c r="G77" s="57">
        <v>0</v>
      </c>
      <c r="H77" s="58">
        <v>0</v>
      </c>
      <c r="I77" s="57">
        <v>-71929.399999999994</v>
      </c>
      <c r="J77" s="58">
        <v>-1993.1599999999999</v>
      </c>
      <c r="K77" s="57">
        <f t="shared" si="16"/>
        <v>55955.010000000009</v>
      </c>
      <c r="L77" s="58">
        <f t="shared" si="19"/>
        <v>-71929.399999999994</v>
      </c>
      <c r="M77" s="57">
        <f t="shared" si="17"/>
        <v>-71929.399999999994</v>
      </c>
      <c r="N77" s="58">
        <f t="shared" si="18"/>
        <v>-1993.1599999999999</v>
      </c>
      <c r="O77" s="60">
        <f t="shared" si="20"/>
        <v>0.56245636195999182</v>
      </c>
      <c r="P77" s="61" t="str">
        <f t="shared" si="21"/>
        <v/>
      </c>
      <c r="Q77" s="60" t="str">
        <f t="shared" si="22"/>
        <v/>
      </c>
      <c r="R77" s="60" t="str">
        <f t="shared" si="23"/>
        <v/>
      </c>
      <c r="S77" s="1"/>
      <c r="T77" s="1"/>
      <c r="U77" s="1"/>
      <c r="V77" s="1"/>
      <c r="W77" s="1"/>
      <c r="X77" s="1"/>
      <c r="Y77" s="1"/>
      <c r="Z77" s="1"/>
    </row>
    <row r="78" s="44" customFormat="1" ht="28.5" customHeight="1">
      <c r="A78" s="167"/>
      <c r="B78" s="141" t="s">
        <v>154</v>
      </c>
      <c r="C78" s="142"/>
      <c r="D78" s="143"/>
      <c r="E78" s="144">
        <f>E67+E68</f>
        <v>31937703.541343279</v>
      </c>
      <c r="F78" s="144">
        <f>F67+F68</f>
        <v>62217186.910000004</v>
      </c>
      <c r="G78" s="144">
        <f>G67+G68</f>
        <v>32982696.420000002</v>
      </c>
      <c r="H78" s="144">
        <f>H67+H68</f>
        <v>6484230.5199999996</v>
      </c>
      <c r="I78" s="144">
        <f>I67+I68</f>
        <v>32435484.41</v>
      </c>
      <c r="J78" s="144">
        <f>J67+J68</f>
        <v>5575913.0799999991</v>
      </c>
      <c r="K78" s="144">
        <f t="shared" si="16"/>
        <v>497780.86865672097</v>
      </c>
      <c r="L78" s="144">
        <f t="shared" si="19"/>
        <v>-547212.01000000164</v>
      </c>
      <c r="M78" s="144">
        <f t="shared" si="17"/>
        <v>-29781702.500000004</v>
      </c>
      <c r="N78" s="144">
        <f t="shared" si="18"/>
        <v>-908317.44000000041</v>
      </c>
      <c r="O78" s="145">
        <f t="shared" si="20"/>
        <v>1.0155859944035219</v>
      </c>
      <c r="P78" s="145">
        <f t="shared" si="21"/>
        <v>0.85991900855492709</v>
      </c>
      <c r="Q78" s="145">
        <f t="shared" si="22"/>
        <v>0.9834091184349566</v>
      </c>
      <c r="R78" s="146">
        <f t="shared" si="23"/>
        <v>0.52132675906609871</v>
      </c>
      <c r="S78" s="44"/>
      <c r="T78" s="44"/>
      <c r="U78" s="44"/>
      <c r="V78" s="44"/>
      <c r="W78" s="44"/>
      <c r="X78" s="44"/>
      <c r="Y78" s="44"/>
      <c r="Z78" s="44"/>
    </row>
    <row r="79">
      <c r="A79" s="168" t="s">
        <v>155</v>
      </c>
      <c r="B79" s="169" t="s">
        <v>156</v>
      </c>
      <c r="C79" s="106"/>
      <c r="D79" s="170"/>
      <c r="E79" s="171"/>
      <c r="F79" s="172"/>
      <c r="G79" s="172"/>
      <c r="H79" s="172"/>
      <c r="I79" s="173"/>
      <c r="J79" s="173"/>
      <c r="K79" s="174"/>
      <c r="L79" s="174"/>
      <c r="M79" s="172"/>
      <c r="N79" s="172"/>
      <c r="O79" s="172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2.75">
      <c r="A80" s="2"/>
      <c r="B80" s="3"/>
      <c r="C80" s="4"/>
      <c r="D80" s="1"/>
      <c r="E80" s="5"/>
      <c r="F80" s="1"/>
      <c r="G80" s="1"/>
      <c r="H80" s="6"/>
      <c r="I80" s="7"/>
      <c r="J80" s="7"/>
      <c r="K80" s="8"/>
      <c r="L80" s="8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>
      <c r="E82" s="5"/>
      <c r="F82" s="1"/>
      <c r="G82" s="1"/>
      <c r="H82" s="6"/>
      <c r="I82" s="7"/>
      <c r="J82" s="7"/>
      <c r="K82" s="8"/>
      <c r="L82" s="8"/>
      <c r="U82" s="1"/>
      <c r="V82" s="1"/>
      <c r="W82" s="1"/>
      <c r="X82" s="1"/>
    </row>
    <row r="83" ht="12.75">
      <c r="F83" s="1"/>
      <c r="H83" s="6"/>
      <c r="I83" s="7"/>
      <c r="J83" s="7"/>
      <c r="U83" s="1"/>
      <c r="V83" s="1"/>
      <c r="W83" s="1"/>
    </row>
    <row r="84" ht="12.75">
      <c r="F84" s="1"/>
      <c r="H84" s="6"/>
      <c r="I84" s="7"/>
      <c r="J84" s="7"/>
      <c r="U84" s="1"/>
      <c r="V84" s="1"/>
      <c r="W84" s="1"/>
    </row>
    <row r="85" ht="12.75">
      <c r="F85" s="1"/>
      <c r="H85" s="6"/>
      <c r="I85" s="7"/>
      <c r="J85" s="7"/>
      <c r="U85" s="1"/>
      <c r="V85" s="1"/>
      <c r="W85" s="1"/>
    </row>
    <row r="86" ht="12.75">
      <c r="E86" s="5"/>
      <c r="F86" s="1"/>
      <c r="H86" s="6"/>
      <c r="I86" s="7"/>
      <c r="J86" s="7"/>
      <c r="U86" s="1"/>
      <c r="V86" s="1"/>
      <c r="W86" s="1"/>
    </row>
    <row r="87" ht="12.75">
      <c r="H87" s="6"/>
      <c r="W87" s="1"/>
    </row>
    <row r="88" ht="12.75">
      <c r="H88" s="6"/>
      <c r="I88" s="7"/>
      <c r="J88" s="7"/>
      <c r="K88" s="8"/>
      <c r="V88" s="1"/>
      <c r="W88" s="1"/>
      <c r="X88" s="1"/>
    </row>
    <row r="89" ht="12.75">
      <c r="H89" s="6"/>
      <c r="I89" s="7"/>
      <c r="J89" s="7"/>
      <c r="K89" s="8"/>
    </row>
    <row r="90" ht="12.75">
      <c r="H90" s="6"/>
      <c r="I90" s="7"/>
      <c r="J90" s="7"/>
      <c r="K90" s="8"/>
    </row>
    <row r="91" ht="12.75">
      <c r="J91" s="7"/>
      <c r="K91" s="8"/>
    </row>
    <row r="92" ht="12.75">
      <c r="H92" s="6"/>
      <c r="I92" s="7"/>
    </row>
    <row r="93" ht="12.75">
      <c r="H93" s="6"/>
      <c r="I93" s="7"/>
    </row>
    <row r="94" ht="12.75">
      <c r="E94" s="5"/>
      <c r="F94" s="1"/>
      <c r="G94" s="1"/>
      <c r="H94" s="6"/>
      <c r="I94" s="7"/>
      <c r="J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4" ht="12.75">
      <c r="F104" s="1"/>
      <c r="G104" s="1"/>
      <c r="H104" s="6"/>
    </row>
  </sheetData>
  <autoFilter ref="A4:R79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B67:D67"/>
    <mergeCell ref="B68:D68"/>
    <mergeCell ref="A69:A77"/>
    <mergeCell ref="B69:B77"/>
    <mergeCell ref="B78:D78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153</cp:revision>
  <dcterms:created xsi:type="dcterms:W3CDTF">2015-02-26T11:08:47Z</dcterms:created>
  <dcterms:modified xsi:type="dcterms:W3CDTF">2025-08-01T06:09:34Z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