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21.07.2025" sheetId="1" state="visible" r:id="rId1"/>
  </sheets>
  <definedNames>
    <definedName name="_xlnm._FilterDatabase" localSheetId="0" hidden="1">'на 21.07.2025'!$A$4:$R$80</definedName>
    <definedName name="Print_Titles" localSheetId="0" hidden="0">'на 21.07.2025'!$3:$4</definedName>
    <definedName name="Print_Area" localSheetId="0" hidden="0">'на 21.07.2025'!$A$1:$R$80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21.07.2025'!$A$4:$R$80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<sst xmlns="http://schemas.openxmlformats.org/spreadsheetml/2006/main" count="158" uniqueCount="158">
  <si>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</si>
  <si>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</si>
  <si>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</si>
  <si>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</si>
  <si>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</si>
  <si>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</si>
  <si>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</si>
  <si>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по 18.07.2024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</si>
  <si>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</si>
  <si>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</si>
  <si>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</si>
  <si>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</si>
  <si>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</si>
  <si>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</si>
  <si>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</si>
  <si>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</si>
  <si>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июль</t>
  </si>
  <si>
    <t>июль</t>
  </si>
  <si>
    <t xml:space="preserve">с нач. года на 21.07.2025 (по 18.07.2025 вкл.)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</si>
  <si>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</si>
  <si>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</si>
  <si>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</si>
  <si>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июль от плана июля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</si>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</sst>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9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color indexed="2"/>
      <name val="Times New Roman"/>
    </font>
    <font>
      <i/>
      <sz val="14.000000"/>
      <color theme="1"/>
      <name val="Times New Roman"/>
    </font>
    <font>
      <i/>
      <sz val="14.000000"/>
      <color indexed="2"/>
      <name val="Times New Roman"/>
    </font>
    <font>
      <i/>
      <sz val="14.000000"/>
      <name val="Times New Roman"/>
    </font>
    <font>
      <i/>
      <sz val="12.000000"/>
      <color theme="1"/>
      <name val="Times New Roman"/>
    </font>
    <font>
      <i/>
      <sz val="11.000000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sz val="14.000000"/>
      <color theme="1" tint="0"/>
      <name val="Times New Roman"/>
    </font>
    <font>
      <b/>
      <sz val="8.00000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14">
    <xf fontId="0" fillId="0" borderId="0" numFmtId="0" xfId="0"/>
    <xf fontId="5" fillId="3" borderId="0" numFmtId="0" xfId="0" applyFont="1" applyFill="1" applyAlignment="1">
      <alignment vertical="center"/>
    </xf>
    <xf fontId="6" fillId="3" borderId="0" numFmtId="0" xfId="0" applyFont="1" applyFill="1" applyAlignment="1">
      <alignment vertical="center"/>
    </xf>
    <xf fontId="7" fillId="3" borderId="0" numFmtId="0" xfId="0" applyFont="1" applyFill="1" applyAlignment="1">
      <alignment vertical="top"/>
    </xf>
    <xf fontId="8" fillId="3" borderId="0" numFmtId="0" xfId="0" applyFont="1" applyFill="1" applyAlignment="1">
      <alignment vertical="center"/>
    </xf>
    <xf fontId="9" fillId="3" borderId="0" numFmtId="162" xfId="0" applyNumberFormat="1" applyFont="1" applyFill="1" applyAlignment="1">
      <alignment vertical="center"/>
    </xf>
    <xf fontId="5" fillId="3" borderId="0" numFmtId="162" xfId="0" applyNumberFormat="1" applyFont="1" applyFill="1" applyAlignment="1">
      <alignment vertical="center"/>
    </xf>
    <xf fontId="5" fillId="3" borderId="0" numFmtId="163" xfId="0" applyNumberFormat="1" applyFont="1" applyFill="1" applyAlignment="1">
      <alignment vertical="center"/>
    </xf>
    <xf fontId="6" fillId="3" borderId="0" numFmtId="163" xfId="0" applyNumberFormat="1" applyFont="1" applyFill="1" applyAlignment="1">
      <alignment vertical="center"/>
    </xf>
    <xf fontId="9" fillId="3" borderId="0" numFmtId="0" xfId="0" applyFont="1" applyFill="1" applyAlignment="1">
      <alignment horizontal="center" vertical="center" wrapText="1"/>
    </xf>
    <xf fontId="6" fillId="3" borderId="0" numFmtId="49" xfId="0" applyNumberFormat="1" applyFont="1" applyFill="1" applyAlignment="1">
      <alignment horizontal="center" vertical="center" wrapText="1"/>
    </xf>
    <xf fontId="10" fillId="3" borderId="0" numFmtId="0" xfId="0" applyFont="1" applyFill="1" applyAlignment="1">
      <alignment horizontal="center" vertical="top" wrapText="1"/>
    </xf>
    <xf fontId="8" fillId="3" borderId="0" numFmtId="0" xfId="0" applyFont="1" applyFill="1" applyAlignment="1">
      <alignment horizontal="center" vertical="center" wrapText="1"/>
    </xf>
    <xf fontId="9" fillId="3" borderId="0" numFmtId="162" xfId="0" applyNumberFormat="1" applyFont="1" applyFill="1" applyAlignment="1">
      <alignment horizontal="center" vertical="center" wrapText="1"/>
    </xf>
    <xf fontId="9" fillId="3" borderId="0" numFmtId="163" xfId="0" applyNumberFormat="1" applyFont="1" applyFill="1" applyAlignment="1">
      <alignment horizontal="center" vertical="center" wrapText="1"/>
    </xf>
    <xf fontId="6" fillId="3" borderId="0" numFmtId="163" xfId="0" applyNumberFormat="1" applyFont="1" applyFill="1" applyAlignment="1">
      <alignment horizontal="center" vertical="center" wrapText="1"/>
    </xf>
    <xf fontId="11" fillId="3" borderId="0" numFmtId="0" xfId="0" applyFont="1" applyFill="1" applyAlignment="1">
      <alignment horizontal="right" vertical="center" wrapText="1"/>
    </xf>
    <xf fontId="11" fillId="3" borderId="0" numFmtId="0" xfId="0" applyFont="1" applyFill="1" applyAlignment="1">
      <alignment horizontal="right" vertical="center"/>
    </xf>
    <xf fontId="12" fillId="3" borderId="0" numFmtId="0" xfId="0" applyFont="1" applyFill="1" applyAlignment="1">
      <alignment vertical="center"/>
    </xf>
    <xf fontId="13" fillId="3" borderId="1" numFmtId="49" xfId="0" applyNumberFormat="1" applyFont="1" applyFill="1" applyBorder="1" applyAlignment="1">
      <alignment horizontal="center" vertical="center" wrapText="1"/>
    </xf>
    <xf fontId="14" fillId="3" borderId="1" numFmtId="0" xfId="0" applyFont="1" applyFill="1" applyBorder="1" applyAlignment="1">
      <alignment horizontal="center" vertical="center" wrapText="1"/>
    </xf>
    <xf fontId="13" fillId="3" borderId="2" numFmtId="49" xfId="0" applyNumberFormat="1" applyFont="1" applyFill="1" applyBorder="1" applyAlignment="1">
      <alignment horizontal="center" vertical="center" wrapText="1"/>
    </xf>
    <xf fontId="14" fillId="3" borderId="3" numFmtId="0" xfId="0" applyFont="1" applyFill="1" applyBorder="1" applyAlignment="1">
      <alignment horizontal="center" vertical="center" wrapText="1"/>
    </xf>
    <xf fontId="15" fillId="3" borderId="4" numFmtId="162" xfId="0" applyNumberFormat="1" applyFont="1" applyFill="1" applyBorder="1" applyAlignment="1">
      <alignment horizontal="center" vertical="center" wrapText="1"/>
    </xf>
    <xf fontId="14" fillId="3" borderId="4" numFmtId="162" xfId="0" applyNumberFormat="1" applyFont="1" applyFill="1" applyBorder="1" applyAlignment="1">
      <alignment horizontal="center" vertical="center" wrapText="1"/>
    </xf>
    <xf fontId="14" fillId="3" borderId="4" numFmtId="163" xfId="0" applyNumberFormat="1" applyFont="1" applyFill="1" applyBorder="1" applyAlignment="1">
      <alignment horizontal="center" vertical="center" wrapText="1"/>
    </xf>
    <xf fontId="14" fillId="3" borderId="4" numFmtId="0" xfId="0" applyFont="1" applyFill="1" applyBorder="1" applyAlignment="1">
      <alignment horizontal="center" vertical="top" wrapText="1"/>
    </xf>
    <xf fontId="14" fillId="3" borderId="4" numFmtId="164" xfId="105" applyNumberFormat="1" applyFont="1" applyFill="1" applyBorder="1" applyAlignment="1" applyProtection="1">
      <alignment horizontal="center" vertical="top" wrapText="1"/>
    </xf>
    <xf fontId="13" fillId="3" borderId="5" numFmtId="49" xfId="0" applyNumberFormat="1" applyFont="1" applyFill="1" applyBorder="1" applyAlignment="1">
      <alignment horizontal="center" vertical="center" wrapText="1"/>
    </xf>
    <xf fontId="14" fillId="3" borderId="5" numFmtId="0" xfId="0" applyFont="1" applyFill="1" applyBorder="1" applyAlignment="1">
      <alignment horizontal="center" vertical="center" wrapText="1"/>
    </xf>
    <xf fontId="13" fillId="3" borderId="0" numFmtId="49" xfId="0" applyNumberFormat="1" applyFont="1" applyFill="1" applyAlignment="1">
      <alignment horizontal="center" vertical="center" wrapText="1"/>
    </xf>
    <xf fontId="14" fillId="3" borderId="4" numFmtId="0" xfId="0" applyFont="1" applyFill="1" applyBorder="1" applyAlignment="1">
      <alignment horizontal="center" vertical="center" wrapText="1"/>
    </xf>
    <xf fontId="15" fillId="3" borderId="4" numFmtId="163" xfId="0" applyNumberFormat="1" applyFont="1" applyFill="1" applyBorder="1" applyAlignment="1">
      <alignment horizontal="center" vertical="top" wrapText="1"/>
    </xf>
    <xf fontId="14" fillId="3" borderId="4" numFmtId="162" xfId="0" applyNumberFormat="1" applyFont="1" applyFill="1" applyBorder="1" applyAlignment="1">
      <alignment horizontal="center" vertical="top" wrapText="1"/>
    </xf>
    <xf fontId="16" fillId="3" borderId="0" numFmtId="0" xfId="0" applyFont="1" applyFill="1" applyAlignment="1">
      <alignment vertical="center"/>
    </xf>
    <xf fontId="17" fillId="3" borderId="4" numFmtId="49" xfId="0" applyNumberFormat="1" applyFont="1" applyFill="1" applyBorder="1" applyAlignment="1">
      <alignment horizontal="center" vertical="center" wrapText="1"/>
    </xf>
    <xf fontId="15" fillId="3" borderId="4" numFmtId="0" xfId="0" applyFont="1" applyFill="1" applyBorder="1" applyAlignment="1">
      <alignment horizontal="center" vertical="top" wrapText="1"/>
    </xf>
    <xf fontId="18" fillId="3" borderId="4" numFmtId="49" xfId="0" applyNumberFormat="1" applyFont="1" applyFill="1" applyBorder="1" applyAlignment="1">
      <alignment horizontal="center" vertical="center" wrapText="1"/>
    </xf>
    <xf fontId="16" fillId="3" borderId="0" numFmtId="0" xfId="0" applyFont="1" applyFill="1" applyAlignment="1">
      <alignment vertical="center" wrapText="1"/>
    </xf>
    <xf fontId="16" fillId="3" borderId="4" numFmtId="162" xfId="0" applyNumberFormat="1" applyFont="1" applyFill="1" applyBorder="1" applyAlignment="1">
      <alignment vertical="center" wrapText="1"/>
    </xf>
    <xf fontId="16" fillId="3" borderId="4" numFmtId="164" xfId="0" applyNumberFormat="1" applyFont="1" applyFill="1" applyBorder="1" applyAlignment="1">
      <alignment horizontal="right" vertical="center" wrapText="1"/>
    </xf>
    <xf fontId="6" fillId="3" borderId="3" numFmtId="49" xfId="0" applyNumberFormat="1" applyFont="1" applyFill="1" applyBorder="1" applyAlignment="1">
      <alignment horizontal="center" vertical="center" wrapText="1"/>
    </xf>
    <xf fontId="10" fillId="3" borderId="4" numFmtId="0" xfId="0" applyFont="1" applyFill="1" applyBorder="1" applyAlignment="1">
      <alignment horizontal="center" vertical="top" wrapText="1"/>
    </xf>
    <xf fontId="8" fillId="3" borderId="0" numFmtId="49" xfId="0" applyNumberFormat="1" applyFont="1" applyFill="1" applyAlignment="1">
      <alignment horizontal="center" vertical="center" wrapText="1"/>
    </xf>
    <xf fontId="9" fillId="3" borderId="4" numFmtId="0" xfId="0" applyFont="1" applyFill="1" applyBorder="1" applyAlignment="1">
      <alignment vertical="center" wrapText="1"/>
    </xf>
    <xf fontId="9" fillId="3" borderId="4" numFmtId="162" xfId="0" applyNumberFormat="1" applyFont="1" applyFill="1" applyBorder="1" applyAlignment="1">
      <alignment horizontal="right" vertical="center" wrapText="1"/>
    </xf>
    <xf fontId="9" fillId="3" borderId="4" numFmtId="4" xfId="0" applyNumberFormat="1" applyFont="1" applyFill="1" applyBorder="1" applyAlignment="1">
      <alignment horizontal="right" vertical="center" wrapText="1"/>
    </xf>
    <xf fontId="9" fillId="3" borderId="4" numFmtId="164" xfId="0" applyNumberFormat="1" applyFont="1" applyFill="1" applyBorder="1" applyAlignment="1">
      <alignment horizontal="right" vertical="center" wrapText="1"/>
    </xf>
    <xf fontId="6" fillId="3" borderId="4" numFmtId="49" xfId="0" applyNumberFormat="1" applyFont="1" applyFill="1" applyBorder="1" applyAlignment="1">
      <alignment horizontal="center" vertical="center" wrapText="1"/>
    </xf>
    <xf fontId="8" fillId="3" borderId="4" numFmtId="49" xfId="0" applyNumberFormat="1" applyFont="1" applyFill="1" applyBorder="1" applyAlignment="1">
      <alignment horizontal="center" vertical="center" wrapText="1"/>
    </xf>
    <xf fontId="9" fillId="3" borderId="4" numFmtId="162" xfId="0" applyNumberFormat="1" applyFont="1" applyFill="1" applyBorder="1" applyAlignment="1">
      <alignment vertical="center" wrapText="1"/>
    </xf>
    <xf fontId="9" fillId="3" borderId="4" numFmtId="4" xfId="0" applyNumberFormat="1" applyFont="1" applyFill="1" applyBorder="1" applyAlignment="1">
      <alignment vertical="center" wrapText="1"/>
    </xf>
    <xf fontId="16" fillId="3" borderId="0" numFmtId="165" xfId="0" applyNumberFormat="1" applyFont="1" applyFill="1" applyAlignment="1">
      <alignment vertical="center" wrapText="1"/>
    </xf>
    <xf fontId="16" fillId="3" borderId="4" numFmtId="162" xfId="0" applyNumberFormat="1" applyFont="1" applyFill="1" applyBorder="1" applyAlignment="1">
      <alignment horizontal="right" vertical="center" wrapText="1"/>
    </xf>
    <xf fontId="10" fillId="3" borderId="3" numFmtId="0" xfId="0" applyFont="1" applyFill="1" applyBorder="1" applyAlignment="1">
      <alignment horizontal="center" vertical="top" wrapText="1"/>
    </xf>
    <xf fontId="8" fillId="3" borderId="0" numFmtId="0" xfId="0" applyFont="1" applyFill="1" applyAlignment="1">
      <alignment horizontal="center" vertical="center"/>
    </xf>
    <xf fontId="9" fillId="3" borderId="4" numFmtId="165" xfId="0" applyNumberFormat="1" applyFont="1" applyFill="1" applyBorder="1" applyAlignment="1">
      <alignment vertical="center" wrapText="1"/>
    </xf>
    <xf fontId="9" fillId="3" borderId="0" numFmtId="165" xfId="0" applyNumberFormat="1" applyFont="1" applyFill="1" applyAlignment="1">
      <alignment vertical="center" wrapText="1"/>
    </xf>
    <xf fontId="19" fillId="3" borderId="0" numFmtId="0" xfId="0" applyFont="1" applyFill="1" applyAlignment="1">
      <alignment vertical="center"/>
    </xf>
    <xf fontId="20" fillId="3" borderId="4" numFmtId="49" xfId="0" applyNumberFormat="1" applyFont="1" applyFill="1" applyBorder="1" applyAlignment="1">
      <alignment horizontal="center" vertical="center" wrapText="1"/>
    </xf>
    <xf fontId="21" fillId="3" borderId="4" numFmtId="0" xfId="0" applyFont="1" applyFill="1" applyBorder="1" applyAlignment="1">
      <alignment horizontal="center" vertical="top" wrapText="1"/>
    </xf>
    <xf fontId="21" fillId="3" borderId="0" numFmtId="0" xfId="0" applyFont="1" applyFill="1" applyAlignment="1">
      <alignment vertical="center" wrapText="1"/>
    </xf>
    <xf fontId="21" fillId="3" borderId="4" numFmtId="162" xfId="0" applyNumberFormat="1" applyFont="1" applyFill="1" applyBorder="1" applyAlignment="1">
      <alignment horizontal="right" vertical="center" wrapText="1"/>
    </xf>
    <xf fontId="21" fillId="3" borderId="4" numFmtId="164" xfId="0" applyNumberFormat="1" applyFont="1" applyFill="1" applyBorder="1" applyAlignment="1">
      <alignment horizontal="right" vertical="center" wrapText="1"/>
    </xf>
    <xf fontId="6" fillId="3" borderId="3" numFmtId="1" xfId="0" applyNumberFormat="1" applyFont="1" applyFill="1" applyBorder="1" applyAlignment="1">
      <alignment horizontal="center" vertical="center" wrapText="1"/>
    </xf>
    <xf fontId="9" fillId="3" borderId="4" numFmtId="0" xfId="0" applyFont="1" applyFill="1" applyBorder="1" applyAlignment="1">
      <alignment horizontal="left" vertical="center" wrapText="1"/>
    </xf>
    <xf fontId="6" fillId="3" borderId="4" numFmtId="0" xfId="0" applyFont="1" applyFill="1" applyBorder="1" applyAlignment="1">
      <alignment horizontal="center" vertical="center" wrapText="1"/>
    </xf>
    <xf fontId="8" fillId="3" borderId="4" numFmtId="0" xfId="0" applyFont="1" applyFill="1" applyBorder="1" applyAlignment="1">
      <alignment horizontal="center" vertical="center" wrapText="1"/>
    </xf>
    <xf fontId="20" fillId="3" borderId="4" numFmtId="0" xfId="0" applyFont="1" applyFill="1" applyBorder="1" applyAlignment="1">
      <alignment horizontal="center" vertical="center" wrapText="1"/>
    </xf>
    <xf fontId="20" fillId="3" borderId="0" numFmtId="49" xfId="0" applyNumberFormat="1" applyFont="1" applyFill="1" applyAlignment="1">
      <alignment horizontal="center" vertical="center" wrapText="1"/>
    </xf>
    <xf fontId="21" fillId="3" borderId="4" numFmtId="0" xfId="0" applyFont="1" applyFill="1" applyBorder="1" applyAlignment="1">
      <alignment vertical="center" wrapText="1"/>
    </xf>
    <xf fontId="9" fillId="3" borderId="4" numFmtId="165" xfId="0" applyNumberFormat="1" applyFont="1" applyFill="1" applyBorder="1" applyAlignment="1">
      <alignment horizontal="left" vertical="center" wrapText="1"/>
    </xf>
    <xf fontId="8" fillId="3" borderId="4" numFmtId="0" xfId="0" applyFont="1" applyFill="1" applyBorder="1" applyAlignment="1">
      <alignment horizontal="center" vertical="center"/>
    </xf>
    <xf fontId="9" fillId="3" borderId="0" numFmtId="0" xfId="0" applyFont="1" applyFill="1" applyAlignment="1">
      <alignment horizontal="left" vertical="center" wrapText="1"/>
    </xf>
    <xf fontId="22" fillId="3" borderId="0" numFmtId="0" xfId="0" applyFont="1" applyFill="1" applyAlignment="1">
      <alignment vertical="center"/>
    </xf>
    <xf fontId="23" fillId="3" borderId="4" numFmtId="0" xfId="0" applyFont="1" applyFill="1" applyBorder="1" applyAlignment="1">
      <alignment horizontal="center" vertical="top" wrapText="1"/>
    </xf>
    <xf fontId="24" fillId="3" borderId="0" numFmtId="0" xfId="0" applyFont="1" applyFill="1" applyAlignment="1">
      <alignment horizontal="right" vertical="center"/>
    </xf>
    <xf fontId="25" fillId="3" borderId="4" numFmtId="0" xfId="0" applyFont="1" applyFill="1" applyBorder="1" applyAlignment="1">
      <alignment horizontal="left" vertical="center" wrapText="1"/>
    </xf>
    <xf fontId="25" fillId="3" borderId="4" numFmtId="162" xfId="0" applyNumberFormat="1" applyFont="1" applyFill="1" applyBorder="1" applyAlignment="1">
      <alignment horizontal="right" vertical="center" wrapText="1"/>
    </xf>
    <xf fontId="25" fillId="3" borderId="4" numFmtId="164" xfId="0" applyNumberFormat="1" applyFont="1" applyFill="1" applyBorder="1" applyAlignment="1">
      <alignment horizontal="right" vertical="center" wrapText="1"/>
    </xf>
    <xf fontId="24" fillId="3" borderId="4" numFmtId="0" xfId="0" applyFont="1" applyFill="1" applyBorder="1" applyAlignment="1">
      <alignment horizontal="right" vertical="center"/>
    </xf>
    <xf fontId="21" fillId="3" borderId="4" numFmtId="49" xfId="0" applyNumberFormat="1" applyFont="1" applyFill="1" applyBorder="1" applyAlignment="1">
      <alignment horizontal="center" vertical="top" wrapText="1"/>
    </xf>
    <xf fontId="21" fillId="3" borderId="0" numFmtId="0" xfId="0" applyFont="1" applyFill="1" applyAlignment="1">
      <alignment vertical="center"/>
    </xf>
    <xf fontId="21" fillId="3" borderId="0" numFmtId="49" xfId="0" applyNumberFormat="1" applyFont="1" applyFill="1" applyAlignment="1">
      <alignment horizontal="center" vertical="center" wrapText="1"/>
    </xf>
    <xf fontId="21" fillId="3" borderId="4" numFmtId="162" xfId="0" applyNumberFormat="1" applyFont="1" applyFill="1" applyBorder="1" applyAlignment="1">
      <alignment vertical="center" wrapText="1"/>
    </xf>
    <xf fontId="26" fillId="3" borderId="4" numFmtId="162" xfId="0" applyNumberFormat="1" applyFont="1" applyFill="1" applyBorder="1" applyAlignment="1">
      <alignment horizontal="right" vertical="center" wrapText="1"/>
    </xf>
    <xf fontId="6" fillId="3" borderId="3" numFmtId="0" xfId="0" applyFont="1" applyFill="1" applyBorder="1" applyAlignment="1">
      <alignment horizontal="center" vertical="center" wrapText="1"/>
    </xf>
    <xf fontId="9" fillId="3" borderId="6" numFmtId="165" xfId="0" applyNumberFormat="1" applyFont="1" applyFill="1" applyBorder="1" applyAlignment="1">
      <alignment horizontal="left" vertical="center" wrapText="1"/>
    </xf>
    <xf fontId="11" fillId="3" borderId="4" numFmtId="164" xfId="0" applyNumberFormat="1" applyFont="1" applyFill="1" applyBorder="1" applyAlignment="1">
      <alignment horizontal="right" vertical="center" wrapText="1"/>
    </xf>
    <xf fontId="16" fillId="3" borderId="4" numFmtId="0" xfId="0" applyFont="1" applyFill="1" applyBorder="1" applyAlignment="1">
      <alignment vertical="center"/>
    </xf>
    <xf fontId="15" fillId="3" borderId="4" numFmtId="165" xfId="0" applyNumberFormat="1" applyFont="1" applyFill="1" applyBorder="1" applyAlignment="1">
      <alignment vertical="top"/>
    </xf>
    <xf fontId="27" fillId="3" borderId="4" numFmtId="165" xfId="0" applyNumberFormat="1" applyFont="1" applyFill="1" applyBorder="1" applyAlignment="1">
      <alignment vertical="center"/>
    </xf>
    <xf fontId="16" fillId="3" borderId="0" numFmtId="166" xfId="0" applyNumberFormat="1" applyFont="1" applyFill="1" applyAlignment="1">
      <alignment horizontal="center" vertical="center" wrapText="1"/>
    </xf>
    <xf fontId="17" fillId="3" borderId="4" numFmtId="49" xfId="0" applyNumberFormat="1" applyFont="1" applyFill="1" applyBorder="1" applyAlignment="1">
      <alignment vertical="center" wrapText="1"/>
    </xf>
    <xf fontId="15" fillId="3" borderId="4" numFmtId="0" xfId="0" applyFont="1" applyFill="1" applyBorder="1" applyAlignment="1">
      <alignment vertical="top" wrapText="1"/>
    </xf>
    <xf fontId="18" fillId="3" borderId="0" numFmtId="49" xfId="0" applyNumberFormat="1" applyFont="1" applyFill="1" applyAlignment="1">
      <alignment horizontal="center" vertical="center" wrapText="1"/>
    </xf>
    <xf fontId="16" fillId="3" borderId="4" numFmtId="165" xfId="0" applyNumberFormat="1" applyFont="1" applyFill="1" applyBorder="1" applyAlignment="1">
      <alignment vertical="center" wrapText="1"/>
    </xf>
    <xf fontId="28" fillId="3" borderId="0" numFmtId="162" xfId="0" applyNumberFormat="1" applyFont="1" applyFill="1" applyAlignment="1">
      <alignment vertical="center" wrapText="1"/>
    </xf>
    <xf fontId="28" fillId="3" borderId="4" numFmtId="162" xfId="0" applyNumberFormat="1" applyFont="1" applyFill="1" applyBorder="1" applyAlignment="1">
      <alignment vertical="center" wrapText="1"/>
    </xf>
    <xf fontId="28" fillId="3" borderId="4" numFmtId="0" xfId="0" applyFont="1" applyFill="1" applyBorder="1" applyAlignment="1">
      <alignment horizontal="left" vertical="center" wrapText="1"/>
    </xf>
    <xf fontId="28" fillId="3" borderId="4" numFmtId="0" xfId="0" applyFont="1" applyFill="1" applyBorder="1" applyAlignment="1">
      <alignment horizontal="left" vertical="top" wrapText="1"/>
    </xf>
    <xf fontId="10" fillId="3" borderId="4" numFmtId="164" xfId="0" applyNumberFormat="1" applyFont="1" applyFill="1" applyBorder="1" applyAlignment="1">
      <alignment vertical="center" wrapText="1"/>
    </xf>
    <xf fontId="28" fillId="3" borderId="4" numFmtId="165" xfId="0" applyNumberFormat="1" applyFont="1" applyFill="1" applyBorder="1" applyAlignment="1">
      <alignment vertical="center" wrapText="1"/>
    </xf>
    <xf fontId="17" fillId="3" borderId="4" numFmtId="0" xfId="0" applyFont="1" applyFill="1" applyBorder="1" applyAlignment="1">
      <alignment vertical="center"/>
    </xf>
    <xf fontId="15" fillId="3" borderId="4" numFmtId="165" xfId="0" applyNumberFormat="1" applyFont="1" applyFill="1" applyBorder="1" applyAlignment="1">
      <alignment vertical="top" wrapText="1"/>
    </xf>
    <xf fontId="18" fillId="3" borderId="4" numFmtId="165" xfId="0" applyNumberFormat="1" applyFont="1" applyFill="1" applyBorder="1" applyAlignment="1">
      <alignment vertical="center" wrapText="1"/>
    </xf>
    <xf fontId="16" fillId="3" borderId="4" numFmtId="165" xfId="0" applyNumberFormat="1" applyFont="1" applyFill="1" applyBorder="1" applyAlignment="1">
      <alignment horizontal="right" vertical="center" wrapText="1"/>
    </xf>
    <xf fontId="6" fillId="3" borderId="0" numFmtId="166" xfId="0" applyNumberFormat="1" applyFont="1" applyFill="1" applyAlignment="1">
      <alignment horizontal="left" vertical="center"/>
    </xf>
    <xf fontId="11" fillId="3" borderId="0" numFmtId="167" xfId="0" applyNumberFormat="1" applyFont="1" applyFill="1" applyAlignment="1">
      <alignment horizontal="left" vertical="top"/>
    </xf>
    <xf fontId="5" fillId="3" borderId="0" numFmtId="0" xfId="0" applyFont="1" applyFill="1" applyAlignment="1">
      <alignment horizontal="left" vertical="center"/>
    </xf>
    <xf fontId="9" fillId="3" borderId="0" numFmtId="162" xfId="0" applyNumberFormat="1" applyFont="1" applyFill="1" applyAlignment="1">
      <alignment horizontal="left" vertical="center"/>
    </xf>
    <xf fontId="5" fillId="3" borderId="0" numFmtId="162" xfId="0" applyNumberFormat="1" applyFont="1" applyFill="1" applyAlignment="1">
      <alignment horizontal="left" vertical="center"/>
    </xf>
    <xf fontId="5" fillId="3" borderId="0" numFmtId="163" xfId="0" applyNumberFormat="1" applyFont="1" applyFill="1" applyAlignment="1">
      <alignment horizontal="left" vertical="center"/>
    </xf>
    <xf fontId="6" fillId="3" borderId="0" numFmtId="163" xfId="0" applyNumberFormat="1" applyFont="1" applyFill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40" style="1" width="9.140625"/>
    <col min="41" max="16384" style="1" width="9.140625"/>
  </cols>
  <sheetData>
    <row r="1" ht="17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</row>
    <row r="2" ht="15">
      <c r="A2" s="10"/>
      <c r="B2" s="11"/>
      <c r="C2" s="12"/>
      <c r="D2" s="9"/>
      <c r="E2" s="13"/>
      <c r="F2" s="9"/>
      <c r="G2" s="9"/>
      <c r="H2" s="13"/>
      <c r="I2" s="14"/>
      <c r="J2" s="15"/>
      <c r="K2" s="15"/>
      <c r="L2" s="15"/>
      <c r="M2" s="9"/>
      <c r="N2" s="9"/>
      <c r="O2" s="9"/>
      <c r="P2" s="16" t="s">
        <v>1</v>
      </c>
      <c r="Q2" s="16"/>
      <c r="R2" s="17" t="s">
        <v>2</v>
      </c>
      <c r="S2" s="1"/>
      <c r="T2" s="1"/>
      <c r="U2" s="1"/>
      <c r="V2" s="1"/>
    </row>
    <row r="3" s="18" customFormat="1" ht="21.75" customHeight="1">
      <c r="A3" s="19" t="s">
        <v>3</v>
      </c>
      <c r="B3" s="20" t="s">
        <v>4</v>
      </c>
      <c r="C3" s="21" t="s">
        <v>5</v>
      </c>
      <c r="D3" s="22" t="s">
        <v>6</v>
      </c>
      <c r="E3" s="23" t="s">
        <v>7</v>
      </c>
      <c r="F3" s="24" t="s">
        <v>8</v>
      </c>
      <c r="G3" s="24"/>
      <c r="H3" s="24"/>
      <c r="I3" s="25" t="s">
        <v>9</v>
      </c>
      <c r="J3" s="25"/>
      <c r="K3" s="24" t="s">
        <v>10</v>
      </c>
      <c r="L3" s="24"/>
      <c r="M3" s="24"/>
      <c r="N3" s="24"/>
      <c r="O3" s="26" t="s">
        <v>11</v>
      </c>
      <c r="P3" s="27" t="s">
        <v>12</v>
      </c>
      <c r="Q3" s="27" t="s">
        <v>13</v>
      </c>
      <c r="R3" s="26" t="s">
        <v>14</v>
      </c>
      <c r="S3" s="18"/>
      <c r="T3" s="18"/>
      <c r="U3" s="18"/>
      <c r="V3" s="18"/>
    </row>
    <row r="4" s="18" customFormat="1" ht="55.5" customHeight="1">
      <c r="A4" s="28"/>
      <c r="B4" s="29"/>
      <c r="C4" s="30"/>
      <c r="D4" s="31"/>
      <c r="E4" s="23"/>
      <c r="F4" s="25" t="s">
        <v>15</v>
      </c>
      <c r="G4" s="25" t="s">
        <v>16</v>
      </c>
      <c r="H4" s="25" t="s">
        <v>17</v>
      </c>
      <c r="I4" s="32" t="s">
        <v>18</v>
      </c>
      <c r="J4" s="24" t="s">
        <v>17</v>
      </c>
      <c r="K4" s="33" t="s">
        <v>19</v>
      </c>
      <c r="L4" s="33" t="s">
        <v>20</v>
      </c>
      <c r="M4" s="33" t="s">
        <v>21</v>
      </c>
      <c r="N4" s="33" t="s">
        <v>22</v>
      </c>
      <c r="O4" s="26"/>
      <c r="P4" s="27"/>
      <c r="Q4" s="27"/>
      <c r="R4" s="26"/>
      <c r="S4" s="18"/>
      <c r="T4" s="18"/>
      <c r="U4" s="18"/>
      <c r="V4" s="18"/>
    </row>
    <row r="5" s="34" customFormat="1" ht="26.25" customHeight="1">
      <c r="A5" s="35"/>
      <c r="B5" s="36"/>
      <c r="C5" s="37"/>
      <c r="D5" s="38" t="s">
        <v>23</v>
      </c>
      <c r="E5" s="39">
        <f>SUM(E6:E16)</f>
        <v>10032783.551791044</v>
      </c>
      <c r="F5" s="39">
        <f>SUM(F6:F16)</f>
        <v>28065221.000000007</v>
      </c>
      <c r="G5" s="39">
        <f>SUM(G6:G16)</f>
        <v>13999575.4</v>
      </c>
      <c r="H5" s="39">
        <f>SUM(H6:H16)</f>
        <v>3855845.3999999999</v>
      </c>
      <c r="I5" s="39">
        <f>SUM(I6:I16)</f>
        <v>11314685.689999999</v>
      </c>
      <c r="J5" s="39">
        <f>SUM(J6:J16)</f>
        <v>1125841.3899999999</v>
      </c>
      <c r="K5" s="39">
        <f>SUM(K6:K16)</f>
        <v>1281902.1382089539</v>
      </c>
      <c r="L5" s="39">
        <f>SUM(L6:L16)</f>
        <v>-2684889.7099999995</v>
      </c>
      <c r="M5" s="39">
        <f>SUM(M6:M16)</f>
        <v>-16750535.310000002</v>
      </c>
      <c r="N5" s="39">
        <f>SUM(N6:N16)</f>
        <v>-2730004.0100000002</v>
      </c>
      <c r="O5" s="40">
        <f t="shared" ref="O5:O9" si="0">IFERROR(I5/E5,"")</f>
        <v>1.1277713340063149</v>
      </c>
      <c r="P5" s="40">
        <f t="shared" ref="P5:P9" si="1">IFERROR(J5/H5,"")</f>
        <v>0.29198302141470711</v>
      </c>
      <c r="Q5" s="40">
        <f t="shared" ref="Q5:Q9" si="2">IFERROR(I5/G5,"")</f>
        <v>0.80821634704721113</v>
      </c>
      <c r="R5" s="40">
        <f t="shared" ref="R5:R9" si="3">IFERROR(I5/F5,"")</f>
        <v>0.40315683564366006</v>
      </c>
      <c r="S5" s="34"/>
      <c r="T5" s="34"/>
      <c r="U5" s="34"/>
      <c r="V5" s="34"/>
      <c r="W5" s="34"/>
      <c r="X5" s="34"/>
      <c r="Y5" s="34"/>
    </row>
    <row r="6" ht="17.25">
      <c r="A6" s="41"/>
      <c r="B6" s="42" t="s">
        <v>24</v>
      </c>
      <c r="C6" s="43" t="s">
        <v>25</v>
      </c>
      <c r="D6" s="44" t="s">
        <v>26</v>
      </c>
      <c r="E6" s="45">
        <f>8823596.09/33.5*30</f>
        <v>7901727.8417910459</v>
      </c>
      <c r="F6" s="45">
        <v>21478832.200000003</v>
      </c>
      <c r="G6" s="45">
        <f>10742601.7-100000</f>
        <v>10642601.699999999</v>
      </c>
      <c r="H6" s="45">
        <f>3103492.3-100000</f>
        <v>3003492.2999999998</v>
      </c>
      <c r="I6" s="45">
        <v>8698190.5999999996</v>
      </c>
      <c r="J6" s="45">
        <v>1059081.1500000001</v>
      </c>
      <c r="K6" s="45">
        <f t="shared" ref="K6:K9" si="4">I6-E6</f>
        <v>796462.75820895378</v>
      </c>
      <c r="L6" s="45">
        <f t="shared" ref="L6:L9" si="5">I6-G6</f>
        <v>-1944411.0999999996</v>
      </c>
      <c r="M6" s="45">
        <f t="shared" ref="M6:M9" si="6">I6-F6</f>
        <v>-12780641.600000003</v>
      </c>
      <c r="N6" s="46">
        <f t="shared" ref="N6:N9" si="7">J6-H6</f>
        <v>-1944411.1499999997</v>
      </c>
      <c r="O6" s="47">
        <f t="shared" si="0"/>
        <v>1.1007960251423217</v>
      </c>
      <c r="P6" s="47">
        <f t="shared" si="1"/>
        <v>0.3526165690519667</v>
      </c>
      <c r="Q6" s="47">
        <f t="shared" si="2"/>
        <v>0.81729926997080049</v>
      </c>
      <c r="R6" s="47">
        <f t="shared" si="3"/>
        <v>0.40496571317317698</v>
      </c>
      <c r="S6" s="1"/>
      <c r="T6" s="1"/>
      <c r="U6" s="1"/>
      <c r="V6" s="1"/>
      <c r="X6" s="1"/>
      <c r="Y6" s="1"/>
    </row>
    <row r="7" ht="17.25">
      <c r="A7" s="48"/>
      <c r="B7" s="42" t="s">
        <v>27</v>
      </c>
      <c r="C7" s="49" t="s">
        <v>28</v>
      </c>
      <c r="D7" s="44" t="s">
        <v>29</v>
      </c>
      <c r="E7" s="50">
        <v>40433.080000000002</v>
      </c>
      <c r="F7" s="50">
        <v>82008.100000000006</v>
      </c>
      <c r="G7" s="50">
        <v>46638.5</v>
      </c>
      <c r="H7" s="50">
        <v>7227</v>
      </c>
      <c r="I7" s="50">
        <v>41236.75</v>
      </c>
      <c r="J7" s="50">
        <v>6834.9399999999996</v>
      </c>
      <c r="K7" s="50">
        <f t="shared" si="4"/>
        <v>803.66999999999825</v>
      </c>
      <c r="L7" s="50">
        <f t="shared" si="5"/>
        <v>-5401.75</v>
      </c>
      <c r="M7" s="50">
        <f t="shared" si="6"/>
        <v>-40771.350000000006</v>
      </c>
      <c r="N7" s="50">
        <f t="shared" si="7"/>
        <v>-392.0600000000004</v>
      </c>
      <c r="O7" s="47">
        <f t="shared" si="0"/>
        <v>1.0198765466296409</v>
      </c>
      <c r="P7" s="47">
        <f t="shared" si="1"/>
        <v>0.94575065725750651</v>
      </c>
      <c r="Q7" s="47">
        <f t="shared" si="2"/>
        <v>0.88417830762138572</v>
      </c>
      <c r="R7" s="47">
        <f t="shared" si="3"/>
        <v>0.50283752458598596</v>
      </c>
      <c r="S7" s="1"/>
      <c r="T7" s="1"/>
      <c r="U7" s="1"/>
      <c r="V7" s="1"/>
      <c r="X7" s="1"/>
      <c r="Y7" s="1"/>
    </row>
    <row r="8" ht="17.25">
      <c r="A8" s="48"/>
      <c r="B8" s="42" t="s">
        <v>24</v>
      </c>
      <c r="C8" s="43" t="s">
        <v>30</v>
      </c>
      <c r="D8" s="44" t="s">
        <v>31</v>
      </c>
      <c r="E8" s="50">
        <v>0</v>
      </c>
      <c r="F8" s="50">
        <v>52994.300000000003</v>
      </c>
      <c r="G8" s="50">
        <v>32497.099999999999</v>
      </c>
      <c r="H8" s="50">
        <v>20497.099999999999</v>
      </c>
      <c r="I8" s="50">
        <v>8536.0200000000004</v>
      </c>
      <c r="J8" s="50">
        <v>34.030000000000001</v>
      </c>
      <c r="K8" s="50">
        <f t="shared" si="4"/>
        <v>8536.0200000000004</v>
      </c>
      <c r="L8" s="50">
        <f t="shared" si="5"/>
        <v>-23961.079999999998</v>
      </c>
      <c r="M8" s="50">
        <f t="shared" si="6"/>
        <v>-44458.279999999999</v>
      </c>
      <c r="N8" s="50">
        <f t="shared" si="7"/>
        <v>-20463.07</v>
      </c>
      <c r="O8" s="47" t="str">
        <f t="shared" si="0"/>
        <v/>
      </c>
      <c r="P8" s="47">
        <f t="shared" si="1"/>
        <v>0.001660234862492743</v>
      </c>
      <c r="Q8" s="47">
        <f t="shared" si="2"/>
        <v>0.26267020749543807</v>
      </c>
      <c r="R8" s="47">
        <f t="shared" si="3"/>
        <v>0.16107430421762339</v>
      </c>
      <c r="S8" s="1"/>
      <c r="T8" s="1"/>
      <c r="U8" s="1"/>
      <c r="V8" s="1"/>
      <c r="X8" s="1"/>
      <c r="Y8" s="1"/>
    </row>
    <row r="9" ht="17.25">
      <c r="A9" s="48"/>
      <c r="B9" s="42" t="s">
        <v>24</v>
      </c>
      <c r="C9" s="49" t="s">
        <v>32</v>
      </c>
      <c r="D9" s="44" t="s">
        <v>33</v>
      </c>
      <c r="E9" s="50">
        <v>645326.12</v>
      </c>
      <c r="F9" s="50">
        <v>1259409.1000000001</v>
      </c>
      <c r="G9" s="50">
        <v>911774.39999999991</v>
      </c>
      <c r="H9" s="50">
        <v>227925</v>
      </c>
      <c r="I9" s="50">
        <v>681365.15000000002</v>
      </c>
      <c r="J9" s="50">
        <v>10048.58</v>
      </c>
      <c r="K9" s="50">
        <f t="shared" si="4"/>
        <v>36039.030000000028</v>
      </c>
      <c r="L9" s="50">
        <f t="shared" si="5"/>
        <v>-230409.24999999988</v>
      </c>
      <c r="M9" s="50">
        <f t="shared" si="6"/>
        <v>-578043.95000000007</v>
      </c>
      <c r="N9" s="50">
        <f t="shared" si="7"/>
        <v>-217876.42000000001</v>
      </c>
      <c r="O9" s="47">
        <f t="shared" si="0"/>
        <v>1.0558462285704475</v>
      </c>
      <c r="P9" s="47">
        <f t="shared" si="1"/>
        <v>0.044087221673796202</v>
      </c>
      <c r="Q9" s="47">
        <f t="shared" si="2"/>
        <v>0.74729576746177573</v>
      </c>
      <c r="R9" s="47">
        <f t="shared" si="3"/>
        <v>0.54101971313372277</v>
      </c>
      <c r="S9" s="1"/>
      <c r="T9" s="1"/>
      <c r="U9" s="1"/>
      <c r="V9" s="1"/>
      <c r="X9" s="1"/>
      <c r="Y9" s="1"/>
    </row>
    <row r="10" ht="17.25">
      <c r="A10" s="48"/>
      <c r="B10" s="42" t="s">
        <v>24</v>
      </c>
      <c r="C10" s="43" t="s">
        <v>34</v>
      </c>
      <c r="D10" s="44" t="s">
        <v>35</v>
      </c>
      <c r="E10" s="50">
        <v>546.19000000000005</v>
      </c>
      <c r="F10" s="50">
        <v>0</v>
      </c>
      <c r="G10" s="50">
        <v>0</v>
      </c>
      <c r="H10" s="50">
        <v>0</v>
      </c>
      <c r="I10" s="50">
        <v>202.18000000000001</v>
      </c>
      <c r="J10" s="50">
        <v>23.879999999999999</v>
      </c>
      <c r="K10" s="50">
        <f t="shared" ref="K10:K45" si="8">I10-E10</f>
        <v>-344.01000000000005</v>
      </c>
      <c r="L10" s="50">
        <f t="shared" ref="L10:L73" si="9">I10-G10</f>
        <v>202.18000000000001</v>
      </c>
      <c r="M10" s="50">
        <f t="shared" ref="M10:M45" si="10">I10-F10</f>
        <v>202.18000000000001</v>
      </c>
      <c r="N10" s="50">
        <f t="shared" ref="N10:N45" si="11">J10-H10</f>
        <v>23.879999999999999</v>
      </c>
      <c r="O10" s="47">
        <f t="shared" ref="O10:O73" si="12">IFERROR(I10/E10,"")</f>
        <v>0.3701642285651513</v>
      </c>
      <c r="P10" s="47" t="str">
        <f t="shared" ref="P10:P73" si="13">IFERROR(J10/H10,"")</f>
        <v/>
      </c>
      <c r="Q10" s="47" t="str">
        <f t="shared" ref="Q10:Q73" si="14">IFERROR(I10/G10,"")</f>
        <v/>
      </c>
      <c r="R10" s="47" t="str">
        <f t="shared" ref="R10:R73" si="15">IFERROR(I10/F10,"")</f>
        <v/>
      </c>
      <c r="S10" s="1"/>
      <c r="T10" s="1"/>
      <c r="U10" s="1"/>
      <c r="V10" s="1"/>
      <c r="X10" s="1"/>
      <c r="Y10" s="1"/>
    </row>
    <row r="11" ht="17.25">
      <c r="A11" s="48"/>
      <c r="B11" s="42" t="s">
        <v>24</v>
      </c>
      <c r="C11" s="49" t="s">
        <v>36</v>
      </c>
      <c r="D11" s="44" t="s">
        <v>37</v>
      </c>
      <c r="E11" s="50">
        <v>1169.6800000000001</v>
      </c>
      <c r="F11" s="50">
        <v>1208.9000000000001</v>
      </c>
      <c r="G11" s="50">
        <v>1142.9000000000001</v>
      </c>
      <c r="H11" s="50">
        <v>243</v>
      </c>
      <c r="I11" s="50">
        <v>1095.99</v>
      </c>
      <c r="J11" s="50">
        <v>-6.5199999999999996</v>
      </c>
      <c r="K11" s="50">
        <f t="shared" si="8"/>
        <v>-73.690000000000055</v>
      </c>
      <c r="L11" s="50">
        <f t="shared" si="9"/>
        <v>-46.910000000000082</v>
      </c>
      <c r="M11" s="50">
        <f t="shared" si="10"/>
        <v>-112.91000000000008</v>
      </c>
      <c r="N11" s="50">
        <f t="shared" si="11"/>
        <v>-249.52000000000001</v>
      </c>
      <c r="O11" s="47">
        <f t="shared" si="12"/>
        <v>0.9369998632104507</v>
      </c>
      <c r="P11" s="47">
        <f t="shared" si="13"/>
        <v>-0.026831275720164607</v>
      </c>
      <c r="Q11" s="47">
        <f t="shared" si="14"/>
        <v>0.95895528917665585</v>
      </c>
      <c r="R11" s="47">
        <f t="shared" si="15"/>
        <v>0.90660104226983207</v>
      </c>
      <c r="S11" s="1"/>
      <c r="T11" s="1"/>
      <c r="U11" s="1"/>
      <c r="V11" s="1"/>
      <c r="X11" s="1"/>
      <c r="Y11" s="1"/>
    </row>
    <row r="12" ht="17.25">
      <c r="A12" s="48"/>
      <c r="B12" s="42" t="s">
        <v>24</v>
      </c>
      <c r="C12" s="43" t="s">
        <v>38</v>
      </c>
      <c r="D12" s="44" t="s">
        <v>39</v>
      </c>
      <c r="E12" s="50">
        <v>309431.46999999997</v>
      </c>
      <c r="F12" s="50">
        <v>615839.40000000002</v>
      </c>
      <c r="G12" s="50">
        <v>329592.29999999999</v>
      </c>
      <c r="H12" s="50">
        <v>16000</v>
      </c>
      <c r="I12" s="50">
        <v>332933.28999999998</v>
      </c>
      <c r="J12" s="50">
        <v>6819.6699999999992</v>
      </c>
      <c r="K12" s="50">
        <f t="shared" si="8"/>
        <v>23501.820000000007</v>
      </c>
      <c r="L12" s="50">
        <f t="shared" si="9"/>
        <v>3340.9899999999907</v>
      </c>
      <c r="M12" s="50">
        <f t="shared" si="10"/>
        <v>-282906.11000000004</v>
      </c>
      <c r="N12" s="50">
        <f t="shared" si="11"/>
        <v>-9180.3300000000017</v>
      </c>
      <c r="O12" s="47">
        <f t="shared" si="12"/>
        <v>1.0759516153932243</v>
      </c>
      <c r="P12" s="47">
        <f t="shared" si="13"/>
        <v>0.42622937499999997</v>
      </c>
      <c r="Q12" s="47">
        <f t="shared" si="14"/>
        <v>1.0101367355972819</v>
      </c>
      <c r="R12" s="47">
        <f t="shared" si="15"/>
        <v>0.5406170667222655</v>
      </c>
      <c r="S12" s="1"/>
      <c r="T12" s="1"/>
      <c r="U12" s="1"/>
      <c r="V12" s="1"/>
      <c r="X12" s="1"/>
      <c r="Y12" s="1"/>
    </row>
    <row r="13" ht="17.25">
      <c r="A13" s="48"/>
      <c r="B13" s="42" t="s">
        <v>40</v>
      </c>
      <c r="C13" s="49" t="s">
        <v>41</v>
      </c>
      <c r="D13" s="44" t="s">
        <v>42</v>
      </c>
      <c r="E13" s="50">
        <v>65723.369999999995</v>
      </c>
      <c r="F13" s="50">
        <v>1486170.1000000001</v>
      </c>
      <c r="G13" s="50">
        <v>71400</v>
      </c>
      <c r="H13" s="50">
        <v>5000</v>
      </c>
      <c r="I13" s="50">
        <v>80842.889999999999</v>
      </c>
      <c r="J13" s="50">
        <v>3211.3999999999996</v>
      </c>
      <c r="K13" s="50">
        <f t="shared" si="8"/>
        <v>15119.520000000004</v>
      </c>
      <c r="L13" s="50">
        <f t="shared" si="9"/>
        <v>9442.8899999999994</v>
      </c>
      <c r="M13" s="50">
        <f t="shared" si="10"/>
        <v>-1405327.2100000002</v>
      </c>
      <c r="N13" s="50">
        <f t="shared" si="11"/>
        <v>-1788.6000000000004</v>
      </c>
      <c r="O13" s="47">
        <f t="shared" si="12"/>
        <v>1.2300478505590935</v>
      </c>
      <c r="P13" s="47">
        <f t="shared" si="13"/>
        <v>0.64227999999999996</v>
      </c>
      <c r="Q13" s="47">
        <f t="shared" si="14"/>
        <v>1.1322533613445378</v>
      </c>
      <c r="R13" s="47">
        <f t="shared" si="15"/>
        <v>0.05439679482180404</v>
      </c>
      <c r="S13" s="1"/>
      <c r="T13" s="1"/>
      <c r="U13" s="1"/>
      <c r="V13" s="1"/>
      <c r="X13" s="1"/>
      <c r="Y13" s="1"/>
    </row>
    <row r="14" ht="17.25">
      <c r="A14" s="48"/>
      <c r="B14" s="42" t="s">
        <v>40</v>
      </c>
      <c r="C14" s="43" t="s">
        <v>43</v>
      </c>
      <c r="D14" s="44" t="s">
        <v>44</v>
      </c>
      <c r="E14" s="50">
        <v>945105.54000000004</v>
      </c>
      <c r="F14" s="50">
        <v>2439929.7999999998</v>
      </c>
      <c r="G14" s="50">
        <v>1596886</v>
      </c>
      <c r="H14" s="50">
        <v>522162</v>
      </c>
      <c r="I14" s="50">
        <v>1117274.26</v>
      </c>
      <c r="J14" s="50">
        <v>3004.23</v>
      </c>
      <c r="K14" s="50">
        <f t="shared" si="8"/>
        <v>172168.71999999997</v>
      </c>
      <c r="L14" s="50">
        <f t="shared" si="9"/>
        <v>-479611.73999999999</v>
      </c>
      <c r="M14" s="50">
        <f t="shared" si="10"/>
        <v>-1322655.5399999998</v>
      </c>
      <c r="N14" s="51">
        <f t="shared" si="11"/>
        <v>-519157.77000000002</v>
      </c>
      <c r="O14" s="47">
        <f t="shared" si="12"/>
        <v>1.1821687766214977</v>
      </c>
      <c r="P14" s="47">
        <f t="shared" si="13"/>
        <v>0.0057534443333678055</v>
      </c>
      <c r="Q14" s="47">
        <f t="shared" si="14"/>
        <v>0.69965812212017642</v>
      </c>
      <c r="R14" s="47">
        <f t="shared" si="15"/>
        <v>0.457912461251959</v>
      </c>
      <c r="S14" s="1"/>
      <c r="T14" s="1"/>
      <c r="U14" s="1"/>
      <c r="V14" s="1"/>
      <c r="X14" s="1"/>
      <c r="Y14" s="1"/>
    </row>
    <row r="15" ht="17.25">
      <c r="A15" s="48"/>
      <c r="B15" s="42"/>
      <c r="C15" s="49" t="s">
        <v>45</v>
      </c>
      <c r="D15" s="44" t="s">
        <v>46</v>
      </c>
      <c r="E15" s="50">
        <v>123320.26000000001</v>
      </c>
      <c r="F15" s="50">
        <v>648829.10000000009</v>
      </c>
      <c r="G15" s="50">
        <v>367042.5</v>
      </c>
      <c r="H15" s="50">
        <v>53299</v>
      </c>
      <c r="I15" s="50">
        <v>353008.56</v>
      </c>
      <c r="J15" s="50">
        <v>36790.029999999999</v>
      </c>
      <c r="K15" s="50">
        <f t="shared" si="8"/>
        <v>229688.29999999999</v>
      </c>
      <c r="L15" s="50">
        <f t="shared" si="9"/>
        <v>-14033.940000000002</v>
      </c>
      <c r="M15" s="50">
        <f t="shared" si="10"/>
        <v>-295820.5400000001</v>
      </c>
      <c r="N15" s="51">
        <f t="shared" si="11"/>
        <v>-16508.970000000001</v>
      </c>
      <c r="O15" s="47">
        <f t="shared" si="12"/>
        <v>2.8625349962771729</v>
      </c>
      <c r="P15" s="47">
        <f t="shared" si="13"/>
        <v>0.69025741571136412</v>
      </c>
      <c r="Q15" s="47">
        <f t="shared" si="14"/>
        <v>0.96176480925233454</v>
      </c>
      <c r="R15" s="47">
        <f t="shared" si="15"/>
        <v>0.54407017194512386</v>
      </c>
      <c r="S15" s="1"/>
      <c r="T15" s="1"/>
      <c r="U15" s="1"/>
      <c r="V15" s="1"/>
      <c r="X15" s="1"/>
      <c r="Y15" s="1"/>
    </row>
    <row r="16" ht="17.25" hidden="1">
      <c r="A16" s="48"/>
      <c r="B16" s="42" t="s">
        <v>40</v>
      </c>
      <c r="C16" s="43" t="s">
        <v>47</v>
      </c>
      <c r="D16" s="44" t="s">
        <v>48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f t="shared" si="8"/>
        <v>0</v>
      </c>
      <c r="L16" s="50">
        <f t="shared" si="9"/>
        <v>0</v>
      </c>
      <c r="M16" s="50">
        <f t="shared" si="10"/>
        <v>0</v>
      </c>
      <c r="N16" s="50">
        <f t="shared" si="11"/>
        <v>0</v>
      </c>
      <c r="O16" s="47" t="str">
        <f t="shared" si="12"/>
        <v/>
      </c>
      <c r="P16" s="47" t="str">
        <f t="shared" si="13"/>
        <v/>
      </c>
      <c r="Q16" s="47" t="str">
        <f t="shared" si="14"/>
        <v/>
      </c>
      <c r="R16" s="47" t="str">
        <f t="shared" si="15"/>
        <v/>
      </c>
      <c r="S16" s="1"/>
      <c r="T16" s="1"/>
      <c r="U16" s="1"/>
      <c r="V16" s="1"/>
      <c r="X16" s="1"/>
      <c r="Y16" s="1"/>
    </row>
    <row r="17" s="34" customFormat="1" ht="27.75" customHeight="1">
      <c r="A17" s="35"/>
      <c r="B17" s="35"/>
      <c r="C17" s="35"/>
      <c r="D17" s="52" t="s">
        <v>49</v>
      </c>
      <c r="E17" s="53">
        <f>E21+E24+E33+E46+E51+E54+E57+E66</f>
        <v>4434838.79</v>
      </c>
      <c r="F17" s="53">
        <f>F21+F24+F33+F46+F51+F54+F57+F66</f>
        <v>7828488.9699999997</v>
      </c>
      <c r="G17" s="53">
        <f>G21+G24+G33+G46+G51+G54+G57+G66</f>
        <v>4297490.9699999997</v>
      </c>
      <c r="H17" s="53">
        <f>H21+H24+H33+H46+H51+H54+H57+H66</f>
        <v>798899.96999999997</v>
      </c>
      <c r="I17" s="53">
        <f>I21+I24+I33+I46+I51+I54+I57+I66</f>
        <v>3990932.6800000002</v>
      </c>
      <c r="J17" s="53">
        <f>J21+J24+J33+J46+J51+J54+J57+J66</f>
        <v>212337.47</v>
      </c>
      <c r="K17" s="53">
        <f t="shared" si="8"/>
        <v>-443906.10999999987</v>
      </c>
      <c r="L17" s="53">
        <f t="shared" si="9"/>
        <v>-306558.28999999957</v>
      </c>
      <c r="M17" s="53">
        <f t="shared" si="10"/>
        <v>-3837556.2899999996</v>
      </c>
      <c r="N17" s="53">
        <f t="shared" si="11"/>
        <v>-586562.5</v>
      </c>
      <c r="O17" s="40">
        <f t="shared" si="12"/>
        <v>0.89990479225514308</v>
      </c>
      <c r="P17" s="40">
        <f t="shared" si="13"/>
        <v>0.26578730501141462</v>
      </c>
      <c r="Q17" s="40">
        <f t="shared" si="14"/>
        <v>0.92866575121622663</v>
      </c>
      <c r="R17" s="40">
        <f t="shared" si="15"/>
        <v>0.50979604049949889</v>
      </c>
      <c r="S17" s="34"/>
      <c r="T17" s="34"/>
      <c r="U17" s="34"/>
      <c r="V17" s="34"/>
      <c r="W17" s="34"/>
      <c r="X17" s="34"/>
      <c r="Y17" s="34"/>
    </row>
    <row r="18" ht="18" customHeight="1">
      <c r="A18" s="41" t="s">
        <v>50</v>
      </c>
      <c r="B18" s="54" t="s">
        <v>27</v>
      </c>
      <c r="C18" s="55" t="s">
        <v>51</v>
      </c>
      <c r="D18" s="56" t="s">
        <v>52</v>
      </c>
      <c r="E18" s="45">
        <v>120853.23</v>
      </c>
      <c r="F18" s="45">
        <v>261278.39999999999</v>
      </c>
      <c r="G18" s="45">
        <v>147947.20000000001</v>
      </c>
      <c r="H18" s="45">
        <v>22724.599999999999</v>
      </c>
      <c r="I18" s="45">
        <v>151120.23000000001</v>
      </c>
      <c r="J18" s="45">
        <v>16304.110000000001</v>
      </c>
      <c r="K18" s="45">
        <f t="shared" si="8"/>
        <v>30267.000000000015</v>
      </c>
      <c r="L18" s="45">
        <f t="shared" si="9"/>
        <v>3173.0299999999988</v>
      </c>
      <c r="M18" s="45">
        <f t="shared" si="10"/>
        <v>-110158.16999999998</v>
      </c>
      <c r="N18" s="46">
        <f t="shared" si="11"/>
        <v>-6420.489999999998</v>
      </c>
      <c r="O18" s="47">
        <f t="shared" si="12"/>
        <v>1.2504442785683099</v>
      </c>
      <c r="P18" s="47">
        <f t="shared" si="13"/>
        <v>0.71746521390915574</v>
      </c>
      <c r="Q18" s="47">
        <f t="shared" si="14"/>
        <v>1.0214470432694907</v>
      </c>
      <c r="R18" s="47">
        <f t="shared" si="15"/>
        <v>0.57838776569360506</v>
      </c>
      <c r="S18" s="1"/>
      <c r="T18" s="1"/>
      <c r="U18" s="1"/>
      <c r="V18" s="1"/>
      <c r="W18" s="1"/>
      <c r="X18" s="1"/>
      <c r="Y18" s="1"/>
    </row>
    <row r="19" ht="17.25">
      <c r="A19" s="48"/>
      <c r="B19" s="42"/>
      <c r="C19" s="49" t="s">
        <v>53</v>
      </c>
      <c r="D19" s="57" t="s">
        <v>54</v>
      </c>
      <c r="E19" s="45">
        <v>4074.3499999999999</v>
      </c>
      <c r="F19" s="45">
        <v>3515.5999999999999</v>
      </c>
      <c r="G19" s="45">
        <v>3515.5999999999999</v>
      </c>
      <c r="H19" s="45">
        <v>0</v>
      </c>
      <c r="I19" s="45">
        <v>647</v>
      </c>
      <c r="J19" s="45">
        <v>0</v>
      </c>
      <c r="K19" s="45">
        <f t="shared" si="8"/>
        <v>-3427.3499999999999</v>
      </c>
      <c r="L19" s="45">
        <f t="shared" si="9"/>
        <v>-2868.5999999999999</v>
      </c>
      <c r="M19" s="45">
        <f t="shared" si="10"/>
        <v>-2868.5999999999999</v>
      </c>
      <c r="N19" s="46">
        <f t="shared" si="11"/>
        <v>0</v>
      </c>
      <c r="O19" s="47">
        <f t="shared" si="12"/>
        <v>0.15879833593088469</v>
      </c>
      <c r="P19" s="47" t="str">
        <f t="shared" si="13"/>
        <v/>
      </c>
      <c r="Q19" s="47">
        <f t="shared" si="14"/>
        <v>0.18403686426214588</v>
      </c>
      <c r="R19" s="47">
        <f t="shared" si="15"/>
        <v>0.18403686426214588</v>
      </c>
      <c r="S19" s="1"/>
      <c r="T19" s="1"/>
      <c r="U19" s="1"/>
      <c r="V19" s="1"/>
      <c r="X19" s="1"/>
      <c r="Y19" s="1"/>
    </row>
    <row r="20" ht="17.25">
      <c r="A20" s="48"/>
      <c r="B20" s="42"/>
      <c r="C20" s="43" t="s">
        <v>55</v>
      </c>
      <c r="D20" s="56" t="s">
        <v>56</v>
      </c>
      <c r="E20" s="45">
        <v>78398.320000000007</v>
      </c>
      <c r="F20" s="45">
        <f>181842.6+58512.3</f>
        <v>240354.90000000002</v>
      </c>
      <c r="G20" s="45">
        <f>105514.6+20512.3</f>
        <v>126026.90000000001</v>
      </c>
      <c r="H20" s="45">
        <f>15328+20512.3</f>
        <v>35840.300000000003</v>
      </c>
      <c r="I20" s="45">
        <v>130618.90999999999</v>
      </c>
      <c r="J20" s="45">
        <v>12359.690000000001</v>
      </c>
      <c r="K20" s="45">
        <f t="shared" si="8"/>
        <v>52220.589999999982</v>
      </c>
      <c r="L20" s="45">
        <f t="shared" si="9"/>
        <v>4592.0099999999802</v>
      </c>
      <c r="M20" s="45">
        <f t="shared" si="10"/>
        <v>-109735.99000000003</v>
      </c>
      <c r="N20" s="46">
        <f t="shared" si="11"/>
        <v>-23480.610000000001</v>
      </c>
      <c r="O20" s="47">
        <f t="shared" si="12"/>
        <v>1.6660932275079361</v>
      </c>
      <c r="P20" s="47">
        <f t="shared" si="13"/>
        <v>0.34485453525779636</v>
      </c>
      <c r="Q20" s="47">
        <f t="shared" si="14"/>
        <v>1.036436744853678</v>
      </c>
      <c r="R20" s="47">
        <f t="shared" si="15"/>
        <v>0.54344184370695159</v>
      </c>
      <c r="S20" s="1"/>
      <c r="T20" s="1"/>
      <c r="U20" s="1"/>
      <c r="V20" s="1"/>
      <c r="X20" s="1"/>
      <c r="Y20" s="1"/>
    </row>
    <row r="21" s="58" customFormat="1" ht="17.25">
      <c r="A21" s="59"/>
      <c r="B21" s="60"/>
      <c r="C21" s="59"/>
      <c r="D21" s="61" t="s">
        <v>57</v>
      </c>
      <c r="E21" s="62">
        <f>SUM(E18:E20)</f>
        <v>203325.90000000002</v>
      </c>
      <c r="F21" s="62">
        <f>SUM(F18:F20)</f>
        <v>505148.90000000002</v>
      </c>
      <c r="G21" s="62">
        <f>SUM(G18:G20)</f>
        <v>277489.70000000001</v>
      </c>
      <c r="H21" s="62">
        <f>SUM(H18:H20)</f>
        <v>58564.900000000001</v>
      </c>
      <c r="I21" s="62">
        <f>SUM(I18:I20)</f>
        <v>282386.14000000001</v>
      </c>
      <c r="J21" s="62">
        <f>SUM(J18:J20)</f>
        <v>28663.800000000003</v>
      </c>
      <c r="K21" s="62">
        <f t="shared" si="8"/>
        <v>79060.239999999991</v>
      </c>
      <c r="L21" s="62">
        <f t="shared" si="9"/>
        <v>4896.4400000000023</v>
      </c>
      <c r="M21" s="62">
        <f t="shared" si="10"/>
        <v>-222762.76000000001</v>
      </c>
      <c r="N21" s="62">
        <f t="shared" si="11"/>
        <v>-29901.099999999999</v>
      </c>
      <c r="O21" s="63">
        <f t="shared" si="12"/>
        <v>1.3888350672491796</v>
      </c>
      <c r="P21" s="63">
        <f t="shared" si="13"/>
        <v>0.48943650548366002</v>
      </c>
      <c r="Q21" s="63">
        <f t="shared" si="14"/>
        <v>1.0176454837783169</v>
      </c>
      <c r="R21" s="63">
        <f t="shared" si="15"/>
        <v>0.55901564865329811</v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</row>
    <row r="22" ht="34.5">
      <c r="A22" s="64">
        <v>951</v>
      </c>
      <c r="B22" s="54" t="s">
        <v>24</v>
      </c>
      <c r="C22" s="12" t="s">
        <v>58</v>
      </c>
      <c r="D22" s="65" t="s">
        <v>59</v>
      </c>
      <c r="E22" s="45">
        <v>73924.100000000006</v>
      </c>
      <c r="F22" s="45">
        <v>104746.7</v>
      </c>
      <c r="G22" s="45">
        <v>56821.599999999999</v>
      </c>
      <c r="H22" s="45">
        <v>9042</v>
      </c>
      <c r="I22" s="45">
        <v>57263.830000000002</v>
      </c>
      <c r="J22" s="45">
        <v>8209</v>
      </c>
      <c r="K22" s="45">
        <f t="shared" si="8"/>
        <v>-16660.270000000004</v>
      </c>
      <c r="L22" s="45">
        <f t="shared" si="9"/>
        <v>442.2300000000032</v>
      </c>
      <c r="M22" s="45">
        <f t="shared" si="10"/>
        <v>-47482.869999999995</v>
      </c>
      <c r="N22" s="45">
        <f t="shared" si="11"/>
        <v>-833</v>
      </c>
      <c r="O22" s="47">
        <f t="shared" si="12"/>
        <v>0.77463005975047372</v>
      </c>
      <c r="P22" s="47">
        <f t="shared" si="13"/>
        <v>0.90787436407874367</v>
      </c>
      <c r="Q22" s="47">
        <f t="shared" si="14"/>
        <v>1.0077827797879679</v>
      </c>
      <c r="R22" s="47">
        <f t="shared" si="15"/>
        <v>0.54668863076354679</v>
      </c>
      <c r="S22" s="1"/>
      <c r="T22" s="1"/>
      <c r="U22" s="1"/>
      <c r="V22" s="1"/>
      <c r="X22" s="1"/>
      <c r="Y22" s="1"/>
    </row>
    <row r="23" ht="17.25">
      <c r="A23" s="66"/>
      <c r="B23" s="42"/>
      <c r="C23" s="67" t="s">
        <v>60</v>
      </c>
      <c r="D23" s="56" t="s">
        <v>61</v>
      </c>
      <c r="E23" s="45">
        <v>8552.3999999999996</v>
      </c>
      <c r="F23" s="45">
        <v>11046.9</v>
      </c>
      <c r="G23" s="45">
        <v>5802.1000000000004</v>
      </c>
      <c r="H23" s="45">
        <v>1590</v>
      </c>
      <c r="I23" s="45">
        <v>9507.1399999999994</v>
      </c>
      <c r="J23" s="45">
        <v>306.14999999999998</v>
      </c>
      <c r="K23" s="45">
        <f t="shared" si="8"/>
        <v>954.73999999999978</v>
      </c>
      <c r="L23" s="45">
        <f t="shared" si="9"/>
        <v>3705.0399999999991</v>
      </c>
      <c r="M23" s="45">
        <f t="shared" si="10"/>
        <v>-1539.7600000000002</v>
      </c>
      <c r="N23" s="45">
        <f t="shared" si="11"/>
        <v>-1283.8499999999999</v>
      </c>
      <c r="O23" s="47">
        <f t="shared" si="12"/>
        <v>1.1116341611711333</v>
      </c>
      <c r="P23" s="47">
        <f t="shared" si="13"/>
        <v>0.19254716981132075</v>
      </c>
      <c r="Q23" s="47">
        <f t="shared" si="14"/>
        <v>1.6385687940573239</v>
      </c>
      <c r="R23" s="47">
        <f t="shared" si="15"/>
        <v>0.86061610044446857</v>
      </c>
      <c r="S23" s="1"/>
      <c r="T23" s="1"/>
      <c r="U23" s="1"/>
      <c r="V23" s="1"/>
      <c r="X23" s="1"/>
      <c r="Y23" s="1"/>
    </row>
    <row r="24" s="58" customFormat="1" ht="17.25">
      <c r="A24" s="68"/>
      <c r="B24" s="60"/>
      <c r="C24" s="69"/>
      <c r="D24" s="70" t="s">
        <v>57</v>
      </c>
      <c r="E24" s="62">
        <f>E22+E23</f>
        <v>82476.5</v>
      </c>
      <c r="F24" s="62">
        <f>F22+F23</f>
        <v>115793.59999999999</v>
      </c>
      <c r="G24" s="62">
        <f>G22+G23</f>
        <v>62623.699999999997</v>
      </c>
      <c r="H24" s="62">
        <f>H22+H23</f>
        <v>10632</v>
      </c>
      <c r="I24" s="62">
        <f>I22+I23</f>
        <v>66770.970000000001</v>
      </c>
      <c r="J24" s="62">
        <f>J22+J23</f>
        <v>8515.1499999999996</v>
      </c>
      <c r="K24" s="62">
        <f t="shared" si="8"/>
        <v>-15705.529999999999</v>
      </c>
      <c r="L24" s="62">
        <f t="shared" si="9"/>
        <v>4147.2700000000041</v>
      </c>
      <c r="M24" s="62">
        <f t="shared" si="10"/>
        <v>-49022.62999999999</v>
      </c>
      <c r="N24" s="62">
        <f t="shared" si="11"/>
        <v>-2116.8500000000004</v>
      </c>
      <c r="O24" s="63">
        <f t="shared" si="12"/>
        <v>0.80957569731984269</v>
      </c>
      <c r="P24" s="63">
        <f t="shared" si="13"/>
        <v>0.80089823175319785</v>
      </c>
      <c r="Q24" s="63">
        <f t="shared" si="14"/>
        <v>1.0662252469911553</v>
      </c>
      <c r="R24" s="63">
        <f t="shared" si="15"/>
        <v>0.57663782799740237</v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</row>
    <row r="25" ht="17.25">
      <c r="A25" s="41" t="s">
        <v>62</v>
      </c>
      <c r="B25" s="54" t="s">
        <v>63</v>
      </c>
      <c r="C25" s="49" t="s">
        <v>64</v>
      </c>
      <c r="D25" s="57" t="s">
        <v>65</v>
      </c>
      <c r="E25" s="45">
        <v>7403.8299999999999</v>
      </c>
      <c r="F25" s="45">
        <v>7680</v>
      </c>
      <c r="G25" s="45">
        <v>0</v>
      </c>
      <c r="H25" s="45">
        <v>0</v>
      </c>
      <c r="I25" s="45">
        <v>0</v>
      </c>
      <c r="J25" s="45">
        <v>0</v>
      </c>
      <c r="K25" s="45">
        <f t="shared" si="8"/>
        <v>-7403.8299999999999</v>
      </c>
      <c r="L25" s="45">
        <f t="shared" si="9"/>
        <v>0</v>
      </c>
      <c r="M25" s="45">
        <f t="shared" si="10"/>
        <v>-7680</v>
      </c>
      <c r="N25" s="45">
        <f t="shared" si="11"/>
        <v>0</v>
      </c>
      <c r="O25" s="47">
        <f t="shared" si="12"/>
        <v>0</v>
      </c>
      <c r="P25" s="47" t="str">
        <f t="shared" si="13"/>
        <v/>
      </c>
      <c r="Q25" s="47" t="str">
        <f t="shared" si="14"/>
        <v/>
      </c>
      <c r="R25" s="47">
        <f t="shared" si="15"/>
        <v>0</v>
      </c>
      <c r="S25" s="1"/>
      <c r="T25" s="1"/>
      <c r="U25" s="1"/>
      <c r="V25" s="1"/>
      <c r="X25" s="1"/>
      <c r="Y25" s="1"/>
    </row>
    <row r="26" ht="17.25">
      <c r="A26" s="48"/>
      <c r="B26" s="42"/>
      <c r="C26" s="43" t="s">
        <v>66</v>
      </c>
      <c r="D26" s="71" t="s">
        <v>67</v>
      </c>
      <c r="E26" s="45">
        <v>43756</v>
      </c>
      <c r="F26" s="45">
        <v>80987</v>
      </c>
      <c r="G26" s="45">
        <v>45600</v>
      </c>
      <c r="H26" s="45">
        <v>6000</v>
      </c>
      <c r="I26" s="45">
        <v>42554.779999999999</v>
      </c>
      <c r="J26" s="45">
        <v>2375.7200000000003</v>
      </c>
      <c r="K26" s="45">
        <f t="shared" si="8"/>
        <v>-1201.2200000000012</v>
      </c>
      <c r="L26" s="45">
        <f t="shared" si="9"/>
        <v>-3045.2200000000012</v>
      </c>
      <c r="M26" s="45">
        <f t="shared" si="10"/>
        <v>-38432.220000000001</v>
      </c>
      <c r="N26" s="45">
        <f t="shared" si="11"/>
        <v>-3624.2799999999997</v>
      </c>
      <c r="O26" s="47">
        <f t="shared" si="12"/>
        <v>0.97254730779778775</v>
      </c>
      <c r="P26" s="47">
        <f t="shared" si="13"/>
        <v>0.39595333333333338</v>
      </c>
      <c r="Q26" s="47">
        <f t="shared" si="14"/>
        <v>0.93321885964912277</v>
      </c>
      <c r="R26" s="47">
        <f t="shared" si="15"/>
        <v>0.52545198612122934</v>
      </c>
      <c r="S26" s="1"/>
      <c r="T26" s="1"/>
      <c r="U26" s="1"/>
      <c r="V26" s="1"/>
      <c r="X26" s="1"/>
      <c r="Y26" s="1"/>
    </row>
    <row r="27" ht="17.25">
      <c r="A27" s="48"/>
      <c r="B27" s="42"/>
      <c r="C27" s="72" t="s">
        <v>68</v>
      </c>
      <c r="D27" s="65" t="s">
        <v>69</v>
      </c>
      <c r="E27" s="45">
        <v>791.98000000000002</v>
      </c>
      <c r="F27" s="45">
        <v>557</v>
      </c>
      <c r="G27" s="45">
        <v>324.89999999999998</v>
      </c>
      <c r="H27" s="45">
        <v>46.399999999999999</v>
      </c>
      <c r="I27" s="45">
        <v>533.90999999999997</v>
      </c>
      <c r="J27" s="45">
        <v>86.819999999999993</v>
      </c>
      <c r="K27" s="45">
        <f t="shared" si="8"/>
        <v>-258.07000000000005</v>
      </c>
      <c r="L27" s="45">
        <f t="shared" si="9"/>
        <v>209.00999999999999</v>
      </c>
      <c r="M27" s="45">
        <f t="shared" si="10"/>
        <v>-23.090000000000032</v>
      </c>
      <c r="N27" s="45">
        <f t="shared" si="11"/>
        <v>40.419999999999995</v>
      </c>
      <c r="O27" s="47">
        <f t="shared" si="12"/>
        <v>0.67414581176292321</v>
      </c>
      <c r="P27" s="47">
        <f t="shared" si="13"/>
        <v>1.8711206896551724</v>
      </c>
      <c r="Q27" s="47">
        <f t="shared" si="14"/>
        <v>1.6433056325023083</v>
      </c>
      <c r="R27" s="47">
        <f t="shared" si="15"/>
        <v>0.95854578096947929</v>
      </c>
      <c r="S27" s="1"/>
      <c r="T27" s="1"/>
      <c r="U27" s="1"/>
      <c r="V27" s="1"/>
      <c r="X27" s="1"/>
      <c r="Y27" s="1"/>
    </row>
    <row r="28" ht="17.25">
      <c r="A28" s="48"/>
      <c r="B28" s="42"/>
      <c r="C28" s="55" t="s">
        <v>70</v>
      </c>
      <c r="D28" s="65" t="s">
        <v>71</v>
      </c>
      <c r="E28" s="45">
        <v>0</v>
      </c>
      <c r="F28" s="45">
        <f>8021.3+5846.2</f>
        <v>13867.5</v>
      </c>
      <c r="G28" s="45">
        <v>0</v>
      </c>
      <c r="H28" s="45">
        <v>0</v>
      </c>
      <c r="I28" s="45">
        <v>0</v>
      </c>
      <c r="J28" s="45">
        <v>0</v>
      </c>
      <c r="K28" s="45">
        <f t="shared" si="8"/>
        <v>0</v>
      </c>
      <c r="L28" s="45">
        <f t="shared" si="9"/>
        <v>0</v>
      </c>
      <c r="M28" s="45">
        <f t="shared" si="10"/>
        <v>-13867.5</v>
      </c>
      <c r="N28" s="45">
        <f t="shared" si="11"/>
        <v>0</v>
      </c>
      <c r="O28" s="47" t="str">
        <f t="shared" si="12"/>
        <v/>
      </c>
      <c r="P28" s="47" t="str">
        <f t="shared" si="13"/>
        <v/>
      </c>
      <c r="Q28" s="47" t="str">
        <f t="shared" si="14"/>
        <v/>
      </c>
      <c r="R28" s="47">
        <f t="shared" si="15"/>
        <v>0</v>
      </c>
      <c r="S28" s="1"/>
      <c r="T28" s="1"/>
      <c r="U28" s="1"/>
      <c r="V28" s="1"/>
      <c r="X28" s="1"/>
      <c r="Y28" s="1"/>
    </row>
    <row r="29" s="1" customFormat="1" ht="17.25">
      <c r="A29" s="48"/>
      <c r="B29" s="42"/>
      <c r="C29" s="72" t="s">
        <v>72</v>
      </c>
      <c r="D29" s="73" t="s">
        <v>73</v>
      </c>
      <c r="E29" s="45">
        <f>E30+E32+E31</f>
        <v>292274.32000000001</v>
      </c>
      <c r="F29" s="45">
        <f>F30+F32+F31</f>
        <v>84753.799999999988</v>
      </c>
      <c r="G29" s="45">
        <f>G30+G32+G31</f>
        <v>52500.199999999997</v>
      </c>
      <c r="H29" s="45">
        <f>H30+H32+H31</f>
        <v>21630.299999999999</v>
      </c>
      <c r="I29" s="45">
        <f>I30+I32+I31</f>
        <v>33797.970000000001</v>
      </c>
      <c r="J29" s="45">
        <f>J30+J32+J31</f>
        <v>1643.21</v>
      </c>
      <c r="K29" s="45">
        <f t="shared" si="8"/>
        <v>-258476.35000000001</v>
      </c>
      <c r="L29" s="45">
        <f t="shared" si="9"/>
        <v>-18702.229999999996</v>
      </c>
      <c r="M29" s="45">
        <f t="shared" si="10"/>
        <v>-50955.829999999987</v>
      </c>
      <c r="N29" s="45">
        <f t="shared" si="11"/>
        <v>-19987.09</v>
      </c>
      <c r="O29" s="47">
        <f t="shared" si="12"/>
        <v>0.11563783639972201</v>
      </c>
      <c r="P29" s="47">
        <f t="shared" si="13"/>
        <v>0.0759679708556978</v>
      </c>
      <c r="Q29" s="47">
        <f t="shared" si="14"/>
        <v>0.64376840469179175</v>
      </c>
      <c r="R29" s="47">
        <f t="shared" si="15"/>
        <v>0.39877822587305828</v>
      </c>
      <c r="S29" s="1"/>
      <c r="T29" s="1"/>
      <c r="U29" s="1"/>
      <c r="V29" s="1"/>
      <c r="W29" s="1"/>
      <c r="X29" s="1"/>
      <c r="Y29" s="1"/>
    </row>
    <row r="30" s="74" customFormat="1" ht="17.25" customHeight="1">
      <c r="A30" s="59"/>
      <c r="B30" s="75"/>
      <c r="C30" s="76" t="s">
        <v>74</v>
      </c>
      <c r="D30" s="77" t="s">
        <v>75</v>
      </c>
      <c r="E30" s="78">
        <v>274319.56</v>
      </c>
      <c r="F30" s="78">
        <v>45675.099999999999</v>
      </c>
      <c r="G30" s="78">
        <v>31595.5</v>
      </c>
      <c r="H30" s="78">
        <v>18300</v>
      </c>
      <c r="I30" s="78">
        <v>13487.889999999999</v>
      </c>
      <c r="J30" s="78">
        <v>201</v>
      </c>
      <c r="K30" s="78">
        <f t="shared" si="8"/>
        <v>-260831.66999999998</v>
      </c>
      <c r="L30" s="78">
        <f t="shared" si="9"/>
        <v>-18107.610000000001</v>
      </c>
      <c r="M30" s="78">
        <f t="shared" si="10"/>
        <v>-32187.209999999999</v>
      </c>
      <c r="N30" s="78">
        <f t="shared" si="11"/>
        <v>-18099</v>
      </c>
      <c r="O30" s="79">
        <f t="shared" si="12"/>
        <v>0.049168531766382244</v>
      </c>
      <c r="P30" s="79">
        <f t="shared" si="13"/>
        <v>0.010983606557377049</v>
      </c>
      <c r="Q30" s="79">
        <f t="shared" si="14"/>
        <v>0.42689275371492774</v>
      </c>
      <c r="R30" s="79">
        <f t="shared" si="15"/>
        <v>0.29530072183750006</v>
      </c>
      <c r="S30" s="74"/>
      <c r="T30" s="74"/>
      <c r="U30" s="74"/>
      <c r="V30" s="74"/>
      <c r="X30" s="74"/>
      <c r="Y30" s="74"/>
    </row>
    <row r="31" s="74" customFormat="1" ht="16.5" customHeight="1">
      <c r="A31" s="59"/>
      <c r="B31" s="75"/>
      <c r="C31" s="80" t="s">
        <v>76</v>
      </c>
      <c r="D31" s="77" t="s">
        <v>77</v>
      </c>
      <c r="E31" s="78">
        <v>0</v>
      </c>
      <c r="F31" s="78">
        <v>481</v>
      </c>
      <c r="G31" s="78">
        <v>301.10000000000002</v>
      </c>
      <c r="H31" s="78">
        <v>0</v>
      </c>
      <c r="I31" s="78">
        <v>0</v>
      </c>
      <c r="J31" s="78">
        <v>0</v>
      </c>
      <c r="K31" s="78">
        <f t="shared" si="8"/>
        <v>0</v>
      </c>
      <c r="L31" s="78">
        <f t="shared" si="9"/>
        <v>-301.10000000000002</v>
      </c>
      <c r="M31" s="78">
        <f t="shared" si="10"/>
        <v>-481</v>
      </c>
      <c r="N31" s="78">
        <f t="shared" si="11"/>
        <v>0</v>
      </c>
      <c r="O31" s="79" t="str">
        <f t="shared" si="12"/>
        <v/>
      </c>
      <c r="P31" s="79" t="str">
        <f t="shared" si="13"/>
        <v/>
      </c>
      <c r="Q31" s="79">
        <f t="shared" si="14"/>
        <v>0</v>
      </c>
      <c r="R31" s="79">
        <f t="shared" si="15"/>
        <v>0</v>
      </c>
      <c r="S31" s="74"/>
      <c r="T31" s="74"/>
      <c r="U31" s="74"/>
      <c r="V31" s="74"/>
      <c r="X31" s="74"/>
      <c r="Y31" s="74"/>
    </row>
    <row r="32" s="74" customFormat="1" ht="17.25" customHeight="1">
      <c r="A32" s="59"/>
      <c r="B32" s="75"/>
      <c r="C32" s="76" t="s">
        <v>78</v>
      </c>
      <c r="D32" s="77" t="s">
        <v>79</v>
      </c>
      <c r="E32" s="78">
        <v>17954.759999999998</v>
      </c>
      <c r="F32" s="78">
        <v>38597.699999999997</v>
      </c>
      <c r="G32" s="78">
        <v>20603.599999999999</v>
      </c>
      <c r="H32" s="78">
        <v>3330.3000000000002</v>
      </c>
      <c r="I32" s="78">
        <v>20310.079999999998</v>
      </c>
      <c r="J32" s="78">
        <v>1442.21</v>
      </c>
      <c r="K32" s="78">
        <f t="shared" si="8"/>
        <v>2355.3199999999997</v>
      </c>
      <c r="L32" s="78">
        <f t="shared" si="9"/>
        <v>-293.52000000000044</v>
      </c>
      <c r="M32" s="78">
        <f t="shared" si="10"/>
        <v>-18287.619999999999</v>
      </c>
      <c r="N32" s="78">
        <f t="shared" si="11"/>
        <v>-1888.0900000000001</v>
      </c>
      <c r="O32" s="79">
        <f t="shared" si="12"/>
        <v>1.1311808122191553</v>
      </c>
      <c r="P32" s="79">
        <f t="shared" si="13"/>
        <v>0.43305708194456954</v>
      </c>
      <c r="Q32" s="79">
        <f t="shared" si="14"/>
        <v>0.98575394591236476</v>
      </c>
      <c r="R32" s="79">
        <f t="shared" si="15"/>
        <v>0.52619922948776743</v>
      </c>
      <c r="S32" s="74"/>
      <c r="T32" s="74"/>
      <c r="U32" s="74"/>
      <c r="V32" s="74"/>
      <c r="X32" s="74"/>
      <c r="Y32" s="74"/>
    </row>
    <row r="33" s="58" customFormat="1" ht="17.25">
      <c r="A33" s="59"/>
      <c r="B33" s="81"/>
      <c r="C33" s="59"/>
      <c r="D33" s="61" t="s">
        <v>57</v>
      </c>
      <c r="E33" s="62">
        <f>SUM(E25:E29)</f>
        <v>344226.13</v>
      </c>
      <c r="F33" s="62">
        <f>SUM(F25:F29)</f>
        <v>187845.29999999999</v>
      </c>
      <c r="G33" s="62">
        <f>SUM(G25:G29)</f>
        <v>98425.100000000006</v>
      </c>
      <c r="H33" s="62">
        <f>SUM(H25:H29)</f>
        <v>27676.699999999997</v>
      </c>
      <c r="I33" s="62">
        <f>SUM(I25:I29)</f>
        <v>76886.660000000003</v>
      </c>
      <c r="J33" s="62">
        <f>SUM(J25:J29)</f>
        <v>4105.75</v>
      </c>
      <c r="K33" s="62">
        <f t="shared" si="8"/>
        <v>-267339.46999999997</v>
      </c>
      <c r="L33" s="62">
        <f t="shared" si="9"/>
        <v>-21538.440000000002</v>
      </c>
      <c r="M33" s="62">
        <f t="shared" si="10"/>
        <v>-110958.63999999998</v>
      </c>
      <c r="N33" s="62">
        <f t="shared" si="11"/>
        <v>-23570.949999999997</v>
      </c>
      <c r="O33" s="63">
        <f t="shared" si="12"/>
        <v>0.22336090522819985</v>
      </c>
      <c r="P33" s="63">
        <f t="shared" si="13"/>
        <v>0.14834680435167488</v>
      </c>
      <c r="Q33" s="63">
        <f t="shared" si="14"/>
        <v>0.78116923427052654</v>
      </c>
      <c r="R33" s="63">
        <f t="shared" si="15"/>
        <v>0.40930840430929072</v>
      </c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</row>
    <row r="34" ht="19.5" customHeight="1">
      <c r="A34" s="41" t="s">
        <v>80</v>
      </c>
      <c r="B34" s="54" t="s">
        <v>40</v>
      </c>
      <c r="C34" s="55" t="s">
        <v>81</v>
      </c>
      <c r="D34" s="65" t="s">
        <v>82</v>
      </c>
      <c r="E34" s="45">
        <v>161857.70999999999</v>
      </c>
      <c r="F34" s="45">
        <v>293156.20000000001</v>
      </c>
      <c r="G34" s="45">
        <v>158400</v>
      </c>
      <c r="H34" s="45">
        <v>17400</v>
      </c>
      <c r="I34" s="45">
        <v>155190.39000000001</v>
      </c>
      <c r="J34" s="45">
        <v>2969.46</v>
      </c>
      <c r="K34" s="45">
        <f t="shared" si="8"/>
        <v>-6667.3199999999779</v>
      </c>
      <c r="L34" s="45">
        <f t="shared" si="9"/>
        <v>-3209.609999999986</v>
      </c>
      <c r="M34" s="45">
        <f t="shared" si="10"/>
        <v>-137965.81</v>
      </c>
      <c r="N34" s="45">
        <f t="shared" si="11"/>
        <v>-14430.540000000001</v>
      </c>
      <c r="O34" s="47">
        <f t="shared" si="12"/>
        <v>0.95880752297805294</v>
      </c>
      <c r="P34" s="47">
        <f t="shared" si="13"/>
        <v>0.17065862068965518</v>
      </c>
      <c r="Q34" s="47">
        <f t="shared" si="14"/>
        <v>0.97973731060606073</v>
      </c>
      <c r="R34" s="47">
        <f t="shared" si="15"/>
        <v>0.52937781974251275</v>
      </c>
      <c r="S34" s="1"/>
      <c r="T34" s="1"/>
      <c r="U34" s="1"/>
      <c r="V34" s="1"/>
      <c r="X34" s="1"/>
      <c r="Y34" s="1"/>
    </row>
    <row r="35" ht="37.5" customHeight="1">
      <c r="A35" s="48"/>
      <c r="B35" s="42"/>
      <c r="C35" s="49" t="s">
        <v>83</v>
      </c>
      <c r="D35" s="65" t="s">
        <v>84</v>
      </c>
      <c r="E35" s="45">
        <v>15635.290000000001</v>
      </c>
      <c r="F35" s="45">
        <v>100194.10000000001</v>
      </c>
      <c r="G35" s="45">
        <v>81192</v>
      </c>
      <c r="H35" s="45">
        <v>19000</v>
      </c>
      <c r="I35" s="45">
        <v>98515.529999999999</v>
      </c>
      <c r="J35" s="45">
        <v>1384</v>
      </c>
      <c r="K35" s="45">
        <f t="shared" si="8"/>
        <v>82880.239999999991</v>
      </c>
      <c r="L35" s="45">
        <f t="shared" si="9"/>
        <v>17323.529999999999</v>
      </c>
      <c r="M35" s="45">
        <f t="shared" si="10"/>
        <v>-1678.570000000007</v>
      </c>
      <c r="N35" s="45">
        <f t="shared" si="11"/>
        <v>-17616</v>
      </c>
      <c r="O35" s="47">
        <f t="shared" si="12"/>
        <v>6.3008444358883011</v>
      </c>
      <c r="P35" s="47">
        <f t="shared" si="13"/>
        <v>0.072842105263157889</v>
      </c>
      <c r="Q35" s="47">
        <f t="shared" si="14"/>
        <v>1.2133649866981968</v>
      </c>
      <c r="R35" s="47">
        <f t="shared" si="15"/>
        <v>0.98324681792640478</v>
      </c>
      <c r="S35" s="1"/>
      <c r="T35" s="1"/>
      <c r="U35" s="1"/>
      <c r="V35" s="1"/>
      <c r="X35" s="1"/>
      <c r="Y35" s="1"/>
    </row>
    <row r="36" ht="34.5">
      <c r="A36" s="48"/>
      <c r="B36" s="42"/>
      <c r="C36" s="43" t="s">
        <v>85</v>
      </c>
      <c r="D36" s="56" t="s">
        <v>86</v>
      </c>
      <c r="E36" s="45">
        <v>25154.75</v>
      </c>
      <c r="F36" s="45">
        <v>53573.900000000001</v>
      </c>
      <c r="G36" s="45">
        <v>31653</v>
      </c>
      <c r="H36" s="45">
        <v>3990</v>
      </c>
      <c r="I36" s="45">
        <v>35951.970000000001</v>
      </c>
      <c r="J36" s="45">
        <v>776.65000000000009</v>
      </c>
      <c r="K36" s="45">
        <f t="shared" si="8"/>
        <v>10797.220000000001</v>
      </c>
      <c r="L36" s="45">
        <f t="shared" si="9"/>
        <v>4298.9700000000012</v>
      </c>
      <c r="M36" s="45">
        <f t="shared" si="10"/>
        <v>-17621.93</v>
      </c>
      <c r="N36" s="45">
        <f t="shared" si="11"/>
        <v>-3213.3499999999999</v>
      </c>
      <c r="O36" s="47">
        <f t="shared" si="12"/>
        <v>1.4292318548186724</v>
      </c>
      <c r="P36" s="47">
        <f t="shared" si="13"/>
        <v>0.19464912280701757</v>
      </c>
      <c r="Q36" s="47">
        <f t="shared" si="14"/>
        <v>1.1358155625059236</v>
      </c>
      <c r="R36" s="47">
        <f t="shared" si="15"/>
        <v>0.67107248118953444</v>
      </c>
      <c r="S36" s="1"/>
      <c r="T36" s="1"/>
      <c r="U36" s="1"/>
      <c r="V36" s="1"/>
      <c r="X36" s="1"/>
      <c r="Y36" s="1"/>
    </row>
    <row r="37" ht="40.5" customHeight="1">
      <c r="A37" s="48"/>
      <c r="B37" s="42"/>
      <c r="C37" s="49" t="s">
        <v>87</v>
      </c>
      <c r="D37" s="65" t="s">
        <v>88</v>
      </c>
      <c r="E37" s="45">
        <v>408112.03000000003</v>
      </c>
      <c r="F37" s="45">
        <v>115809.2</v>
      </c>
      <c r="G37" s="45">
        <v>19505.099999999999</v>
      </c>
      <c r="H37" s="45">
        <v>9701.7999999999993</v>
      </c>
      <c r="I37" s="45">
        <v>10778.75</v>
      </c>
      <c r="J37" s="45">
        <v>0</v>
      </c>
      <c r="K37" s="45">
        <f t="shared" si="8"/>
        <v>-397333.28000000003</v>
      </c>
      <c r="L37" s="45">
        <f t="shared" si="9"/>
        <v>-8726.3499999999985</v>
      </c>
      <c r="M37" s="45">
        <f t="shared" si="10"/>
        <v>-105030.45</v>
      </c>
      <c r="N37" s="45">
        <f t="shared" si="11"/>
        <v>-9701.7999999999993</v>
      </c>
      <c r="O37" s="47">
        <f t="shared" si="12"/>
        <v>0.026411252812126119</v>
      </c>
      <c r="P37" s="47">
        <f t="shared" si="13"/>
        <v>0</v>
      </c>
      <c r="Q37" s="47">
        <f t="shared" si="14"/>
        <v>0.55261188099522696</v>
      </c>
      <c r="R37" s="47">
        <f t="shared" si="15"/>
        <v>0.093073348231401301</v>
      </c>
      <c r="S37" s="1"/>
      <c r="T37" s="1"/>
      <c r="U37" s="1"/>
      <c r="V37" s="1"/>
      <c r="X37" s="1"/>
      <c r="Y37" s="1"/>
    </row>
    <row r="38" ht="17.25">
      <c r="A38" s="48"/>
      <c r="B38" s="42"/>
      <c r="C38" s="43" t="s">
        <v>89</v>
      </c>
      <c r="D38" s="56" t="s">
        <v>90</v>
      </c>
      <c r="E38" s="45">
        <v>2947.0100000000002</v>
      </c>
      <c r="F38" s="45">
        <v>3436.3000000000002</v>
      </c>
      <c r="G38" s="45">
        <v>847</v>
      </c>
      <c r="H38" s="45">
        <v>0</v>
      </c>
      <c r="I38" s="45">
        <v>2533.1900000000001</v>
      </c>
      <c r="J38" s="45">
        <v>293.66000000000003</v>
      </c>
      <c r="K38" s="45">
        <f t="shared" si="8"/>
        <v>-413.82000000000016</v>
      </c>
      <c r="L38" s="45">
        <f t="shared" si="9"/>
        <v>1686.1900000000001</v>
      </c>
      <c r="M38" s="45">
        <f t="shared" si="10"/>
        <v>-903.11000000000013</v>
      </c>
      <c r="N38" s="45">
        <f t="shared" si="11"/>
        <v>293.66000000000003</v>
      </c>
      <c r="O38" s="47">
        <f t="shared" si="12"/>
        <v>0.85957970960397145</v>
      </c>
      <c r="P38" s="47" t="str">
        <f t="shared" si="13"/>
        <v/>
      </c>
      <c r="Q38" s="47">
        <f t="shared" si="14"/>
        <v>2.990779220779221</v>
      </c>
      <c r="R38" s="47">
        <f t="shared" si="15"/>
        <v>0.73718534470215058</v>
      </c>
      <c r="S38" s="1"/>
      <c r="T38" s="1"/>
      <c r="U38" s="1"/>
      <c r="V38" s="1"/>
      <c r="X38" s="1"/>
      <c r="Y38" s="1"/>
    </row>
    <row r="39" ht="17.25">
      <c r="A39" s="48"/>
      <c r="B39" s="42"/>
      <c r="C39" s="49" t="s">
        <v>91</v>
      </c>
      <c r="D39" s="56" t="s">
        <v>92</v>
      </c>
      <c r="E39" s="45">
        <v>172.56</v>
      </c>
      <c r="F39" s="45">
        <v>0</v>
      </c>
      <c r="G39" s="45">
        <v>0</v>
      </c>
      <c r="H39" s="45">
        <v>0</v>
      </c>
      <c r="I39" s="45">
        <v>300.89999999999998</v>
      </c>
      <c r="J39" s="45">
        <v>0.029999999999999999</v>
      </c>
      <c r="K39" s="45">
        <f t="shared" si="8"/>
        <v>128.33999999999997</v>
      </c>
      <c r="L39" s="45">
        <f t="shared" si="9"/>
        <v>300.89999999999998</v>
      </c>
      <c r="M39" s="45">
        <f t="shared" si="10"/>
        <v>300.89999999999998</v>
      </c>
      <c r="N39" s="45">
        <f t="shared" si="11"/>
        <v>0.029999999999999999</v>
      </c>
      <c r="O39" s="47">
        <f t="shared" si="12"/>
        <v>1.743741307371349</v>
      </c>
      <c r="P39" s="47" t="str">
        <f t="shared" si="13"/>
        <v/>
      </c>
      <c r="Q39" s="47" t="str">
        <f t="shared" si="14"/>
        <v/>
      </c>
      <c r="R39" s="47" t="str">
        <f t="shared" si="15"/>
        <v/>
      </c>
      <c r="S39" s="1"/>
      <c r="T39" s="1"/>
      <c r="U39" s="1"/>
      <c r="V39" s="1"/>
      <c r="X39" s="1"/>
      <c r="Y39" s="1"/>
    </row>
    <row r="40" ht="34.5">
      <c r="A40" s="48"/>
      <c r="B40" s="42"/>
      <c r="C40" s="55" t="s">
        <v>93</v>
      </c>
      <c r="D40" s="65" t="s">
        <v>94</v>
      </c>
      <c r="E40" s="45">
        <v>136564.63</v>
      </c>
      <c r="F40" s="45">
        <v>202788.70000000001</v>
      </c>
      <c r="G40" s="45">
        <v>107630</v>
      </c>
      <c r="H40" s="45">
        <v>18100</v>
      </c>
      <c r="I40" s="45">
        <v>87598.560000000012</v>
      </c>
      <c r="J40" s="45">
        <v>1569.03</v>
      </c>
      <c r="K40" s="45">
        <f t="shared" si="8"/>
        <v>-48966.069999999992</v>
      </c>
      <c r="L40" s="45">
        <f t="shared" si="9"/>
        <v>-20031.439999999988</v>
      </c>
      <c r="M40" s="45">
        <f t="shared" si="10"/>
        <v>-115190.14</v>
      </c>
      <c r="N40" s="45">
        <f t="shared" si="11"/>
        <v>-16530.970000000001</v>
      </c>
      <c r="O40" s="47">
        <f t="shared" si="12"/>
        <v>0.64144398150531368</v>
      </c>
      <c r="P40" s="47">
        <f t="shared" si="13"/>
        <v>0.086686740331491707</v>
      </c>
      <c r="Q40" s="47">
        <f t="shared" si="14"/>
        <v>0.81388609123850242</v>
      </c>
      <c r="R40" s="47">
        <f t="shared" si="15"/>
        <v>0.43196963144396117</v>
      </c>
      <c r="S40" s="1"/>
      <c r="T40" s="1"/>
      <c r="U40" s="1"/>
      <c r="V40" s="1"/>
      <c r="X40" s="1"/>
      <c r="Y40" s="1"/>
    </row>
    <row r="41" ht="34.5">
      <c r="A41" s="48"/>
      <c r="B41" s="42"/>
      <c r="C41" s="72" t="s">
        <v>95</v>
      </c>
      <c r="D41" s="73" t="s">
        <v>96</v>
      </c>
      <c r="E41" s="45">
        <v>0</v>
      </c>
      <c r="F41" s="45">
        <v>0</v>
      </c>
      <c r="G41" s="45">
        <v>0</v>
      </c>
      <c r="H41" s="45">
        <v>0</v>
      </c>
      <c r="I41" s="45">
        <v>12263.459999999999</v>
      </c>
      <c r="J41" s="45">
        <v>0</v>
      </c>
      <c r="K41" s="45">
        <f t="shared" si="8"/>
        <v>12263.459999999999</v>
      </c>
      <c r="L41" s="45">
        <f t="shared" si="9"/>
        <v>12263.459999999999</v>
      </c>
      <c r="M41" s="45">
        <f t="shared" si="10"/>
        <v>12263.459999999999</v>
      </c>
      <c r="N41" s="45">
        <f t="shared" si="11"/>
        <v>0</v>
      </c>
      <c r="O41" s="47" t="str">
        <f t="shared" si="12"/>
        <v/>
      </c>
      <c r="P41" s="47" t="str">
        <f t="shared" si="13"/>
        <v/>
      </c>
      <c r="Q41" s="47" t="str">
        <f t="shared" si="14"/>
        <v/>
      </c>
      <c r="R41" s="47" t="str">
        <f t="shared" si="15"/>
        <v/>
      </c>
      <c r="S41" s="1"/>
      <c r="T41" s="1"/>
      <c r="U41" s="1"/>
      <c r="V41" s="1"/>
      <c r="X41" s="1"/>
      <c r="Y41" s="1"/>
    </row>
    <row r="42" ht="34.5">
      <c r="A42" s="48"/>
      <c r="B42" s="42"/>
      <c r="C42" s="55" t="s">
        <v>97</v>
      </c>
      <c r="D42" s="65" t="s">
        <v>98</v>
      </c>
      <c r="E42" s="45">
        <v>81015.990000000005</v>
      </c>
      <c r="F42" s="45">
        <v>96901.899999999994</v>
      </c>
      <c r="G42" s="45">
        <v>45500</v>
      </c>
      <c r="H42" s="45">
        <v>8700</v>
      </c>
      <c r="I42" s="45">
        <v>44944.849999999999</v>
      </c>
      <c r="J42" s="45">
        <v>6749.75</v>
      </c>
      <c r="K42" s="45">
        <f t="shared" si="8"/>
        <v>-36071.140000000007</v>
      </c>
      <c r="L42" s="45">
        <f t="shared" si="9"/>
        <v>-555.15000000000146</v>
      </c>
      <c r="M42" s="45">
        <f t="shared" si="10"/>
        <v>-51957.049999999996</v>
      </c>
      <c r="N42" s="45">
        <f t="shared" si="11"/>
        <v>-1950.25</v>
      </c>
      <c r="O42" s="47">
        <f t="shared" si="12"/>
        <v>0.55476517660279157</v>
      </c>
      <c r="P42" s="47">
        <f t="shared" si="13"/>
        <v>0.77583333333333337</v>
      </c>
      <c r="Q42" s="47">
        <f t="shared" si="14"/>
        <v>0.98779890109890112</v>
      </c>
      <c r="R42" s="47">
        <f t="shared" si="15"/>
        <v>0.46381804691136086</v>
      </c>
      <c r="S42" s="1"/>
      <c r="T42" s="1"/>
      <c r="U42" s="1"/>
      <c r="V42" s="1"/>
      <c r="X42" s="1"/>
      <c r="Y42" s="1"/>
    </row>
    <row r="43" ht="44.25" customHeight="1">
      <c r="A43" s="48"/>
      <c r="B43" s="42"/>
      <c r="C43" s="72" t="s">
        <v>99</v>
      </c>
      <c r="D43" s="73" t="s">
        <v>100</v>
      </c>
      <c r="E43" s="45">
        <v>127.01000000000001</v>
      </c>
      <c r="F43" s="45">
        <v>0</v>
      </c>
      <c r="G43" s="45">
        <v>0</v>
      </c>
      <c r="H43" s="45">
        <v>0</v>
      </c>
      <c r="I43" s="45">
        <v>4539.1700000000001</v>
      </c>
      <c r="J43" s="45">
        <v>774.42999999999995</v>
      </c>
      <c r="K43" s="45">
        <f t="shared" si="8"/>
        <v>4412.1599999999999</v>
      </c>
      <c r="L43" s="45">
        <f t="shared" si="9"/>
        <v>4539.1700000000001</v>
      </c>
      <c r="M43" s="45">
        <f t="shared" si="10"/>
        <v>4539.1700000000001</v>
      </c>
      <c r="N43" s="45">
        <f t="shared" si="11"/>
        <v>774.42999999999995</v>
      </c>
      <c r="O43" s="47">
        <f t="shared" si="12"/>
        <v>35.738681993543814</v>
      </c>
      <c r="P43" s="47" t="str">
        <f t="shared" si="13"/>
        <v/>
      </c>
      <c r="Q43" s="47" t="str">
        <f t="shared" si="14"/>
        <v/>
      </c>
      <c r="R43" s="47"/>
      <c r="S43" s="1"/>
      <c r="T43" s="1"/>
      <c r="U43" s="1"/>
      <c r="V43" s="1"/>
      <c r="X43" s="1"/>
      <c r="Y43" s="1"/>
    </row>
    <row r="44" ht="17.25">
      <c r="A44" s="48"/>
      <c r="B44" s="42"/>
      <c r="C44" s="43" t="s">
        <v>55</v>
      </c>
      <c r="D44" s="56" t="s">
        <v>56</v>
      </c>
      <c r="E44" s="45">
        <v>8327.5900000000001</v>
      </c>
      <c r="F44" s="45">
        <v>12977.999999999998</v>
      </c>
      <c r="G44" s="45">
        <v>6604</v>
      </c>
      <c r="H44" s="45">
        <v>0</v>
      </c>
      <c r="I44" s="45">
        <v>4786.9299999999994</v>
      </c>
      <c r="J44" s="45">
        <v>515.05999999999995</v>
      </c>
      <c r="K44" s="45">
        <f t="shared" si="8"/>
        <v>-3540.6600000000008</v>
      </c>
      <c r="L44" s="45">
        <f t="shared" si="9"/>
        <v>-1817.0700000000006</v>
      </c>
      <c r="M44" s="45">
        <f t="shared" si="10"/>
        <v>-8191.0699999999988</v>
      </c>
      <c r="N44" s="45">
        <f t="shared" si="11"/>
        <v>515.05999999999995</v>
      </c>
      <c r="O44" s="47">
        <f t="shared" si="12"/>
        <v>0.57482777129997986</v>
      </c>
      <c r="P44" s="47" t="str">
        <f t="shared" si="13"/>
        <v/>
      </c>
      <c r="Q44" s="47">
        <f t="shared" si="14"/>
        <v>0.72485311932162322</v>
      </c>
      <c r="R44" s="47">
        <f t="shared" si="15"/>
        <v>0.36884959161658193</v>
      </c>
      <c r="S44" s="1"/>
      <c r="T44" s="1"/>
      <c r="U44" s="1"/>
      <c r="V44" s="1"/>
      <c r="X44" s="1"/>
      <c r="Y44" s="1"/>
    </row>
    <row r="45" ht="34.5">
      <c r="A45" s="48"/>
      <c r="B45" s="42"/>
      <c r="C45" s="49" t="s">
        <v>101</v>
      </c>
      <c r="D45" s="57" t="s">
        <v>102</v>
      </c>
      <c r="E45" s="45">
        <v>37675.629999999997</v>
      </c>
      <c r="F45" s="45">
        <v>68465.100000000006</v>
      </c>
      <c r="G45" s="45">
        <v>37916.5</v>
      </c>
      <c r="H45" s="45">
        <v>7411</v>
      </c>
      <c r="I45" s="45">
        <v>38466.639999999999</v>
      </c>
      <c r="J45" s="45">
        <v>2851.6500000000001</v>
      </c>
      <c r="K45" s="45">
        <f t="shared" si="8"/>
        <v>791.01000000000204</v>
      </c>
      <c r="L45" s="45">
        <f t="shared" si="9"/>
        <v>550.13999999999942</v>
      </c>
      <c r="M45" s="45">
        <f t="shared" si="10"/>
        <v>-29998.460000000006</v>
      </c>
      <c r="N45" s="45">
        <f t="shared" si="11"/>
        <v>-4559.3500000000004</v>
      </c>
      <c r="O45" s="47">
        <f t="shared" si="12"/>
        <v>1.0209952693558144</v>
      </c>
      <c r="P45" s="47">
        <f t="shared" si="13"/>
        <v>0.38478612872756712</v>
      </c>
      <c r="Q45" s="47">
        <f t="shared" si="14"/>
        <v>1.0145092505901125</v>
      </c>
      <c r="R45" s="47">
        <f t="shared" si="15"/>
        <v>0.56184304119909267</v>
      </c>
      <c r="S45" s="1"/>
      <c r="T45" s="1"/>
      <c r="U45" s="1"/>
      <c r="V45" s="1"/>
      <c r="X45" s="1"/>
      <c r="Y45" s="1"/>
    </row>
    <row r="46" s="82" customFormat="1" ht="17.25">
      <c r="A46" s="59"/>
      <c r="B46" s="81"/>
      <c r="C46" s="83"/>
      <c r="D46" s="70" t="s">
        <v>57</v>
      </c>
      <c r="E46" s="84">
        <f>SUM(E34:E45)</f>
        <v>877590.20000000007</v>
      </c>
      <c r="F46" s="84">
        <f>SUM(F34:F45)</f>
        <v>947303.40000000014</v>
      </c>
      <c r="G46" s="84">
        <f>SUM(G34:G45)</f>
        <v>489247.59999999998</v>
      </c>
      <c r="H46" s="84">
        <f>SUM(H34:H45)</f>
        <v>84302.800000000003</v>
      </c>
      <c r="I46" s="84">
        <f>SUM(I34:I45)</f>
        <v>495870.34000000003</v>
      </c>
      <c r="J46" s="84">
        <f>SUM(J34:J45)</f>
        <v>17883.720000000001</v>
      </c>
      <c r="K46" s="84">
        <f>SUM(K34:K45)</f>
        <v>-381719.85999999999</v>
      </c>
      <c r="L46" s="84">
        <f t="shared" si="9"/>
        <v>6622.7400000000489</v>
      </c>
      <c r="M46" s="84">
        <f>SUM(M34:M45)</f>
        <v>-451433.06</v>
      </c>
      <c r="N46" s="84">
        <f>SUM(N34:N45)</f>
        <v>-66419.080000000002</v>
      </c>
      <c r="O46" s="63">
        <f t="shared" si="12"/>
        <v>0.56503632333177833</v>
      </c>
      <c r="P46" s="63">
        <f t="shared" si="13"/>
        <v>0.21213672618228577</v>
      </c>
      <c r="Q46" s="63">
        <f t="shared" si="14"/>
        <v>1.0135365814773543</v>
      </c>
      <c r="R46" s="63">
        <f t="shared" si="15"/>
        <v>0.52345461865754939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</row>
    <row r="47" ht="17.25">
      <c r="A47" s="41" t="s">
        <v>103</v>
      </c>
      <c r="B47" s="54" t="s">
        <v>104</v>
      </c>
      <c r="C47" s="49" t="s">
        <v>105</v>
      </c>
      <c r="D47" s="56" t="s">
        <v>106</v>
      </c>
      <c r="E47" s="45">
        <v>320883.88</v>
      </c>
      <c r="F47" s="45">
        <v>653882.09999999998</v>
      </c>
      <c r="G47" s="45">
        <v>366079.70000000001</v>
      </c>
      <c r="H47" s="45">
        <v>33957.099999999999</v>
      </c>
      <c r="I47" s="85">
        <v>326217.19</v>
      </c>
      <c r="J47" s="85">
        <v>57.159999999999997</v>
      </c>
      <c r="K47" s="45">
        <f t="shared" ref="K47:K78" si="16">I47-E47</f>
        <v>5333.3099999999977</v>
      </c>
      <c r="L47" s="45">
        <f t="shared" si="9"/>
        <v>-39862.510000000009</v>
      </c>
      <c r="M47" s="45">
        <f t="shared" ref="M47:M78" si="17">I47-F47</f>
        <v>-327664.90999999997</v>
      </c>
      <c r="N47" s="45">
        <f t="shared" ref="N47:N78" si="18">J47-H47</f>
        <v>-33899.939999999995</v>
      </c>
      <c r="O47" s="47">
        <f t="shared" si="12"/>
        <v>1.0166206853395066</v>
      </c>
      <c r="P47" s="47">
        <f t="shared" si="13"/>
        <v>0.0016833003996218757</v>
      </c>
      <c r="Q47" s="47">
        <f t="shared" si="14"/>
        <v>0.89110975014457228</v>
      </c>
      <c r="R47" s="47">
        <f t="shared" si="15"/>
        <v>0.49889298086000522</v>
      </c>
      <c r="S47" s="1"/>
      <c r="T47" s="1"/>
      <c r="U47" s="1"/>
      <c r="V47" s="1"/>
      <c r="X47" s="1"/>
      <c r="Y47" s="1"/>
    </row>
    <row r="48" ht="17.25">
      <c r="A48" s="48"/>
      <c r="B48" s="42"/>
      <c r="C48" s="43" t="s">
        <v>107</v>
      </c>
      <c r="D48" s="56" t="s">
        <v>108</v>
      </c>
      <c r="E48" s="45">
        <v>219140.51999999999</v>
      </c>
      <c r="F48" s="45">
        <v>423200.79999999999</v>
      </c>
      <c r="G48" s="45">
        <v>250692.89999999999</v>
      </c>
      <c r="H48" s="45">
        <v>28516.599999999999</v>
      </c>
      <c r="I48" s="85">
        <v>244619.17999999999</v>
      </c>
      <c r="J48" s="85">
        <v>0</v>
      </c>
      <c r="K48" s="45">
        <f t="shared" si="16"/>
        <v>25478.660000000003</v>
      </c>
      <c r="L48" s="45">
        <f t="shared" si="9"/>
        <v>-6073.7200000000012</v>
      </c>
      <c r="M48" s="45">
        <f t="shared" si="17"/>
        <v>-178581.62</v>
      </c>
      <c r="N48" s="45">
        <f t="shared" si="18"/>
        <v>-28516.599999999999</v>
      </c>
      <c r="O48" s="47">
        <f t="shared" si="12"/>
        <v>1.1162663116798299</v>
      </c>
      <c r="P48" s="47">
        <f t="shared" si="13"/>
        <v>0</v>
      </c>
      <c r="Q48" s="47">
        <f t="shared" si="14"/>
        <v>0.97577226957763863</v>
      </c>
      <c r="R48" s="47">
        <f t="shared" si="15"/>
        <v>0.5780215443827138</v>
      </c>
      <c r="S48" s="1"/>
      <c r="T48" s="1"/>
      <c r="U48" s="1"/>
      <c r="V48" s="1"/>
      <c r="X48" s="1"/>
      <c r="Y48" s="1"/>
    </row>
    <row r="49" ht="34.5">
      <c r="A49" s="48"/>
      <c r="B49" s="42"/>
      <c r="C49" s="49" t="s">
        <v>109</v>
      </c>
      <c r="D49" s="56" t="s">
        <v>110</v>
      </c>
      <c r="E49" s="45">
        <v>2163297.1600000001</v>
      </c>
      <c r="F49" s="45">
        <v>4515290.5999999996</v>
      </c>
      <c r="G49" s="45">
        <v>2510979.2999999998</v>
      </c>
      <c r="H49" s="45">
        <v>413246.70000000001</v>
      </c>
      <c r="I49" s="85">
        <v>2139472.0600000001</v>
      </c>
      <c r="J49" s="85">
        <v>88053.360000000001</v>
      </c>
      <c r="K49" s="45">
        <f t="shared" si="16"/>
        <v>-23825.100000000093</v>
      </c>
      <c r="L49" s="45">
        <f t="shared" si="9"/>
        <v>-371507.23999999976</v>
      </c>
      <c r="M49" s="45">
        <f t="shared" si="17"/>
        <v>-2375818.5399999996</v>
      </c>
      <c r="N49" s="46">
        <f t="shared" si="18"/>
        <v>-325193.34000000003</v>
      </c>
      <c r="O49" s="47">
        <f t="shared" si="12"/>
        <v>0.98898667254756623</v>
      </c>
      <c r="P49" s="47">
        <f t="shared" si="13"/>
        <v>0.213076982828901</v>
      </c>
      <c r="Q49" s="47">
        <f t="shared" si="14"/>
        <v>0.85204687270819013</v>
      </c>
      <c r="R49" s="47">
        <f t="shared" si="15"/>
        <v>0.47382820941801623</v>
      </c>
      <c r="S49" s="1"/>
      <c r="T49" s="1"/>
      <c r="U49" s="1"/>
      <c r="V49" s="1"/>
      <c r="X49" s="1"/>
      <c r="Y49" s="1"/>
    </row>
    <row r="50" ht="34.5">
      <c r="A50" s="48"/>
      <c r="B50" s="42"/>
      <c r="C50" s="43" t="s">
        <v>111</v>
      </c>
      <c r="D50" s="56" t="s">
        <v>112</v>
      </c>
      <c r="E50" s="45">
        <v>483.73000000000002</v>
      </c>
      <c r="F50" s="45">
        <v>4371.8000000000002</v>
      </c>
      <c r="G50" s="45">
        <v>2040</v>
      </c>
      <c r="H50" s="45">
        <v>467.5</v>
      </c>
      <c r="I50" s="85">
        <v>1550.0799999999999</v>
      </c>
      <c r="J50" s="85">
        <v>416.76999999999998</v>
      </c>
      <c r="K50" s="45">
        <f t="shared" si="16"/>
        <v>1066.3499999999999</v>
      </c>
      <c r="L50" s="45">
        <f t="shared" si="9"/>
        <v>-489.92000000000007</v>
      </c>
      <c r="M50" s="45">
        <f t="shared" si="17"/>
        <v>-2821.7200000000003</v>
      </c>
      <c r="N50" s="45">
        <f t="shared" si="18"/>
        <v>-50.730000000000018</v>
      </c>
      <c r="O50" s="47">
        <f t="shared" si="12"/>
        <v>3.2044322245880963</v>
      </c>
      <c r="P50" s="47">
        <f t="shared" si="13"/>
        <v>0.89148663101604275</v>
      </c>
      <c r="Q50" s="47">
        <f t="shared" si="14"/>
        <v>0.75984313725490193</v>
      </c>
      <c r="R50" s="47">
        <f t="shared" si="15"/>
        <v>0.35456333775561549</v>
      </c>
      <c r="S50" s="1"/>
      <c r="T50" s="1"/>
      <c r="U50" s="1"/>
      <c r="V50" s="1"/>
      <c r="X50" s="1"/>
      <c r="Y50" s="1"/>
    </row>
    <row r="51" s="58" customFormat="1" ht="17.25">
      <c r="A51" s="59"/>
      <c r="B51" s="60"/>
      <c r="C51" s="59"/>
      <c r="D51" s="61" t="s">
        <v>57</v>
      </c>
      <c r="E51" s="62">
        <f>SUM(E47:E50)</f>
        <v>2703805.29</v>
      </c>
      <c r="F51" s="62">
        <f>SUM(F47:F50)</f>
        <v>5596745.2999999998</v>
      </c>
      <c r="G51" s="62">
        <f>SUM(G47:G50)</f>
        <v>3129791.8999999999</v>
      </c>
      <c r="H51" s="62">
        <f>SUM(H47:H50)</f>
        <v>476187.90000000002</v>
      </c>
      <c r="I51" s="62">
        <f>SUM(I47:I50)</f>
        <v>2711858.5100000002</v>
      </c>
      <c r="J51" s="62">
        <f>SUM(J47:J50)</f>
        <v>88527.290000000008</v>
      </c>
      <c r="K51" s="62">
        <f t="shared" si="16"/>
        <v>8053.2200000002049</v>
      </c>
      <c r="L51" s="62">
        <f t="shared" si="9"/>
        <v>-417933.38999999966</v>
      </c>
      <c r="M51" s="62">
        <f t="shared" si="17"/>
        <v>-2884886.7899999996</v>
      </c>
      <c r="N51" s="62">
        <f t="shared" si="18"/>
        <v>-387660.60999999999</v>
      </c>
      <c r="O51" s="63">
        <f t="shared" si="12"/>
        <v>1.002978476308847</v>
      </c>
      <c r="P51" s="63">
        <f t="shared" si="13"/>
        <v>0.18590831476398287</v>
      </c>
      <c r="Q51" s="63">
        <f t="shared" si="14"/>
        <v>0.86646607718551527</v>
      </c>
      <c r="R51" s="63">
        <f t="shared" si="15"/>
        <v>0.48454206233040487</v>
      </c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ht="17.25">
      <c r="A52" s="64">
        <v>991</v>
      </c>
      <c r="B52" s="54" t="s">
        <v>113</v>
      </c>
      <c r="C52" s="55" t="s">
        <v>68</v>
      </c>
      <c r="D52" s="65" t="s">
        <v>114</v>
      </c>
      <c r="E52" s="45">
        <v>34952.93</v>
      </c>
      <c r="F52" s="45">
        <v>66470.800000000003</v>
      </c>
      <c r="G52" s="45">
        <v>37500</v>
      </c>
      <c r="H52" s="45">
        <v>5600</v>
      </c>
      <c r="I52" s="45">
        <v>37408.709999999999</v>
      </c>
      <c r="J52" s="45">
        <v>4351.8699999999999</v>
      </c>
      <c r="K52" s="45">
        <f t="shared" si="16"/>
        <v>2455.7799999999988</v>
      </c>
      <c r="L52" s="45">
        <f t="shared" si="9"/>
        <v>-91.290000000000873</v>
      </c>
      <c r="M52" s="45">
        <f t="shared" si="17"/>
        <v>-29062.090000000004</v>
      </c>
      <c r="N52" s="45">
        <f t="shared" si="18"/>
        <v>-1248.1300000000001</v>
      </c>
      <c r="O52" s="47">
        <f t="shared" si="12"/>
        <v>1.0702596320251263</v>
      </c>
      <c r="P52" s="47">
        <f t="shared" si="13"/>
        <v>0.77711964285714286</v>
      </c>
      <c r="Q52" s="47">
        <f t="shared" si="14"/>
        <v>0.99756559999999994</v>
      </c>
      <c r="R52" s="47">
        <f t="shared" si="15"/>
        <v>0.56278410971434067</v>
      </c>
      <c r="S52" s="1"/>
      <c r="T52" s="1"/>
      <c r="U52" s="1"/>
      <c r="V52" s="1"/>
      <c r="X52" s="1"/>
      <c r="Y52" s="1"/>
    </row>
    <row r="53" ht="17.25">
      <c r="A53" s="66"/>
      <c r="B53" s="42"/>
      <c r="C53" s="49" t="s">
        <v>115</v>
      </c>
      <c r="D53" s="56" t="s">
        <v>116</v>
      </c>
      <c r="E53" s="45">
        <v>6179.6099999999997</v>
      </c>
      <c r="F53" s="45">
        <v>0</v>
      </c>
      <c r="G53" s="45">
        <v>0</v>
      </c>
      <c r="H53" s="45">
        <v>0</v>
      </c>
      <c r="I53" s="45">
        <v>2923.3400000000001</v>
      </c>
      <c r="J53" s="45">
        <v>1109.5</v>
      </c>
      <c r="K53" s="45">
        <f t="shared" si="16"/>
        <v>-3256.2699999999995</v>
      </c>
      <c r="L53" s="45">
        <f t="shared" si="9"/>
        <v>2923.3400000000001</v>
      </c>
      <c r="M53" s="45">
        <f t="shared" si="17"/>
        <v>2923.3400000000001</v>
      </c>
      <c r="N53" s="45">
        <f t="shared" si="18"/>
        <v>1109.5</v>
      </c>
      <c r="O53" s="47">
        <f t="shared" si="12"/>
        <v>0.47306221590035624</v>
      </c>
      <c r="P53" s="47" t="str">
        <f t="shared" si="13"/>
        <v/>
      </c>
      <c r="Q53" s="47" t="str">
        <f t="shared" si="14"/>
        <v/>
      </c>
      <c r="R53" s="47" t="str">
        <f t="shared" si="15"/>
        <v/>
      </c>
      <c r="S53" s="1"/>
      <c r="T53" s="1"/>
      <c r="U53" s="1"/>
      <c r="V53" s="1"/>
      <c r="X53" s="1"/>
      <c r="Y53" s="1"/>
    </row>
    <row r="54" s="58" customFormat="1" ht="17.25">
      <c r="A54" s="68"/>
      <c r="B54" s="60"/>
      <c r="C54" s="69"/>
      <c r="D54" s="70" t="s">
        <v>57</v>
      </c>
      <c r="E54" s="62">
        <f>SUM(E52:E53)</f>
        <v>41132.540000000001</v>
      </c>
      <c r="F54" s="62">
        <f>SUM(F52:F53)</f>
        <v>66470.800000000003</v>
      </c>
      <c r="G54" s="62">
        <f>SUM(G52:G53)</f>
        <v>37500</v>
      </c>
      <c r="H54" s="62">
        <f>SUM(H52:H53)</f>
        <v>5600</v>
      </c>
      <c r="I54" s="62">
        <f>SUM(I52:I53)</f>
        <v>40332.050000000003</v>
      </c>
      <c r="J54" s="62">
        <f>SUM(J52:J53)</f>
        <v>5461.3699999999999</v>
      </c>
      <c r="K54" s="62">
        <f t="shared" si="16"/>
        <v>-800.48999999999796</v>
      </c>
      <c r="L54" s="62">
        <f t="shared" si="9"/>
        <v>2832.0500000000029</v>
      </c>
      <c r="M54" s="62">
        <f t="shared" si="17"/>
        <v>-26138.75</v>
      </c>
      <c r="N54" s="62">
        <f t="shared" si="18"/>
        <v>-138.63000000000011</v>
      </c>
      <c r="O54" s="63">
        <f t="shared" si="12"/>
        <v>0.98053876565852738</v>
      </c>
      <c r="P54" s="63">
        <f t="shared" si="13"/>
        <v>0.97524464285714285</v>
      </c>
      <c r="Q54" s="63">
        <f t="shared" si="14"/>
        <v>1.0755213333333333</v>
      </c>
      <c r="R54" s="63">
        <f t="shared" si="15"/>
        <v>0.60676342093069435</v>
      </c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</row>
    <row r="55" ht="17.25">
      <c r="A55" s="41" t="s">
        <v>117</v>
      </c>
      <c r="B55" s="54" t="s">
        <v>118</v>
      </c>
      <c r="C55" s="49" t="s">
        <v>119</v>
      </c>
      <c r="D55" s="56" t="s">
        <v>120</v>
      </c>
      <c r="E55" s="45">
        <v>21110.740000000002</v>
      </c>
      <c r="F55" s="45">
        <f>24461.7+26624.3</f>
        <v>51086</v>
      </c>
      <c r="G55" s="45">
        <f>17744.4+21500</f>
        <v>39244.400000000001</v>
      </c>
      <c r="H55" s="45">
        <f>5501.1+21500</f>
        <v>27001.099999999999</v>
      </c>
      <c r="I55" s="45">
        <v>47994.360000000001</v>
      </c>
      <c r="J55" s="45">
        <v>8659.3500000000004</v>
      </c>
      <c r="K55" s="45">
        <f t="shared" si="16"/>
        <v>26883.619999999999</v>
      </c>
      <c r="L55" s="45">
        <f t="shared" si="9"/>
        <v>8749.9599999999991</v>
      </c>
      <c r="M55" s="45">
        <f t="shared" si="17"/>
        <v>-3091.6399999999994</v>
      </c>
      <c r="N55" s="45">
        <f t="shared" si="18"/>
        <v>-18341.75</v>
      </c>
      <c r="O55" s="63">
        <f t="shared" si="12"/>
        <v>2.2734570176128357</v>
      </c>
      <c r="P55" s="63">
        <f t="shared" si="13"/>
        <v>0.3207036009644052</v>
      </c>
      <c r="Q55" s="63">
        <f t="shared" si="14"/>
        <v>1.2229607281548449</v>
      </c>
      <c r="R55" s="47">
        <f t="shared" si="15"/>
        <v>0.93948165837998665</v>
      </c>
      <c r="S55" s="1"/>
      <c r="T55" s="1"/>
      <c r="U55" s="1"/>
      <c r="V55" s="1"/>
      <c r="X55" s="1"/>
      <c r="Y55" s="1"/>
    </row>
    <row r="56" ht="17.25">
      <c r="A56" s="48"/>
      <c r="B56" s="42"/>
      <c r="C56" s="43" t="s">
        <v>121</v>
      </c>
      <c r="D56" s="56" t="s">
        <v>122</v>
      </c>
      <c r="E56" s="45">
        <v>29011.880000000001</v>
      </c>
      <c r="F56" s="45">
        <v>50550.300000000003</v>
      </c>
      <c r="G56" s="45">
        <v>11300</v>
      </c>
      <c r="H56" s="45">
        <v>4200</v>
      </c>
      <c r="I56" s="45">
        <v>63358.470000000001</v>
      </c>
      <c r="J56" s="45">
        <v>39031.299999999996</v>
      </c>
      <c r="K56" s="45">
        <f t="shared" si="16"/>
        <v>34346.589999999997</v>
      </c>
      <c r="L56" s="45">
        <f t="shared" si="9"/>
        <v>52058.470000000001</v>
      </c>
      <c r="M56" s="45">
        <f t="shared" si="17"/>
        <v>12808.169999999998</v>
      </c>
      <c r="N56" s="45">
        <f t="shared" si="18"/>
        <v>34831.299999999996</v>
      </c>
      <c r="O56" s="63">
        <f t="shared" si="12"/>
        <v>2.1838801897705356</v>
      </c>
      <c r="P56" s="63">
        <f t="shared" si="13"/>
        <v>9.2931666666666661</v>
      </c>
      <c r="Q56" s="63">
        <f t="shared" si="14"/>
        <v>5.6069442477876104</v>
      </c>
      <c r="R56" s="47">
        <f t="shared" si="15"/>
        <v>1.2533747574198373</v>
      </c>
      <c r="S56" s="1"/>
      <c r="T56" s="1"/>
      <c r="U56" s="1"/>
      <c r="V56" s="1"/>
      <c r="X56" s="1"/>
      <c r="Y56" s="1"/>
    </row>
    <row r="57" s="58" customFormat="1" ht="17.25">
      <c r="A57" s="59"/>
      <c r="B57" s="60"/>
      <c r="C57" s="59"/>
      <c r="D57" s="61" t="s">
        <v>57</v>
      </c>
      <c r="E57" s="62">
        <f>SUBTOTAL(9,E55:E56)</f>
        <v>50122.620000000003</v>
      </c>
      <c r="F57" s="62">
        <f>SUBTOTAL(9,F55:F56)</f>
        <v>101636.3</v>
      </c>
      <c r="G57" s="62">
        <f>SUBTOTAL(9,G55:G56)</f>
        <v>50544.400000000001</v>
      </c>
      <c r="H57" s="62">
        <f>SUBTOTAL(9,H55:H56)</f>
        <v>31201.099999999999</v>
      </c>
      <c r="I57" s="62">
        <f>SUBTOTAL(9,I55:I56)</f>
        <v>111352.83</v>
      </c>
      <c r="J57" s="62">
        <f>SUBTOTAL(9,J55:J56)</f>
        <v>47690.649999999994</v>
      </c>
      <c r="K57" s="62">
        <f t="shared" si="16"/>
        <v>61230.209999999999</v>
      </c>
      <c r="L57" s="62">
        <f t="shared" si="9"/>
        <v>60808.43</v>
      </c>
      <c r="M57" s="62">
        <f t="shared" si="17"/>
        <v>9716.5299999999988</v>
      </c>
      <c r="N57" s="62">
        <f t="shared" si="18"/>
        <v>16489.549999999996</v>
      </c>
      <c r="O57" s="63">
        <f t="shared" si="12"/>
        <v>2.2216083277370577</v>
      </c>
      <c r="P57" s="63">
        <f t="shared" si="13"/>
        <v>1.5284925851973166</v>
      </c>
      <c r="Q57" s="63">
        <f t="shared" si="14"/>
        <v>2.2030695784300534</v>
      </c>
      <c r="R57" s="63">
        <f t="shared" si="15"/>
        <v>1.0956009811455159</v>
      </c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</row>
    <row r="58" ht="17.25">
      <c r="A58" s="86"/>
      <c r="B58" s="54" t="s">
        <v>123</v>
      </c>
      <c r="C58" s="43" t="s">
        <v>124</v>
      </c>
      <c r="D58" s="87" t="s">
        <v>125</v>
      </c>
      <c r="E58" s="45">
        <v>214.31</v>
      </c>
      <c r="F58" s="45">
        <v>30.699999999999999</v>
      </c>
      <c r="G58" s="45">
        <v>30.699999999999999</v>
      </c>
      <c r="H58" s="45">
        <v>0</v>
      </c>
      <c r="I58" s="45">
        <v>2226.9699999999998</v>
      </c>
      <c r="J58" s="45">
        <v>10.66</v>
      </c>
      <c r="K58" s="45">
        <f t="shared" si="16"/>
        <v>2012.6599999999999</v>
      </c>
      <c r="L58" s="45">
        <f t="shared" si="9"/>
        <v>2196.27</v>
      </c>
      <c r="M58" s="45">
        <f t="shared" si="17"/>
        <v>2196.27</v>
      </c>
      <c r="N58" s="45">
        <f t="shared" si="18"/>
        <v>10.66</v>
      </c>
      <c r="O58" s="47">
        <f t="shared" si="12"/>
        <v>10.391348980448882</v>
      </c>
      <c r="P58" s="47" t="str">
        <f t="shared" si="13"/>
        <v/>
      </c>
      <c r="Q58" s="47">
        <f t="shared" si="14"/>
        <v>72.539739413680778</v>
      </c>
      <c r="R58" s="47">
        <f t="shared" si="15"/>
        <v>72.539739413680778</v>
      </c>
      <c r="S58" s="1"/>
      <c r="T58" s="1"/>
      <c r="U58" s="1"/>
      <c r="V58" s="1"/>
      <c r="X58" s="1"/>
      <c r="Y58" s="1"/>
    </row>
    <row r="59" ht="17.25">
      <c r="A59" s="66"/>
      <c r="B59" s="42"/>
      <c r="C59" s="49" t="s">
        <v>89</v>
      </c>
      <c r="D59" s="57" t="s">
        <v>126</v>
      </c>
      <c r="E59" s="45">
        <v>639.22000000000003</v>
      </c>
      <c r="F59" s="46">
        <v>26</v>
      </c>
      <c r="G59" s="46">
        <v>26</v>
      </c>
      <c r="H59" s="46">
        <v>0</v>
      </c>
      <c r="I59" s="45">
        <v>1634.8299999999999</v>
      </c>
      <c r="J59" s="45">
        <v>94.989999999999995</v>
      </c>
      <c r="K59" s="45">
        <f t="shared" si="16"/>
        <v>995.6099999999999</v>
      </c>
      <c r="L59" s="45">
        <f t="shared" si="9"/>
        <v>1608.8299999999999</v>
      </c>
      <c r="M59" s="45">
        <f t="shared" si="17"/>
        <v>1608.8299999999999</v>
      </c>
      <c r="N59" s="45">
        <f t="shared" si="18"/>
        <v>94.989999999999995</v>
      </c>
      <c r="O59" s="47">
        <f t="shared" si="12"/>
        <v>2.557538875504521</v>
      </c>
      <c r="P59" s="47" t="str">
        <f t="shared" si="13"/>
        <v/>
      </c>
      <c r="Q59" s="47">
        <f t="shared" si="14"/>
        <v>62.878076923076918</v>
      </c>
      <c r="R59" s="88">
        <f t="shared" si="15"/>
        <v>62.878076923076918</v>
      </c>
      <c r="S59" s="1"/>
      <c r="T59" s="1"/>
      <c r="U59" s="1"/>
      <c r="V59" s="1"/>
      <c r="X59" s="1"/>
      <c r="Y59" s="1"/>
    </row>
    <row r="60" ht="17.25">
      <c r="A60" s="66"/>
      <c r="B60" s="42"/>
      <c r="C60" s="43" t="s">
        <v>53</v>
      </c>
      <c r="D60" s="56" t="s">
        <v>54</v>
      </c>
      <c r="E60" s="45">
        <v>352.19999999999999</v>
      </c>
      <c r="F60" s="45">
        <v>371</v>
      </c>
      <c r="G60" s="45">
        <v>371</v>
      </c>
      <c r="H60" s="45">
        <v>0</v>
      </c>
      <c r="I60" s="45">
        <v>0</v>
      </c>
      <c r="J60" s="45">
        <v>0</v>
      </c>
      <c r="K60" s="45">
        <f t="shared" si="16"/>
        <v>-352.19999999999999</v>
      </c>
      <c r="L60" s="45">
        <f t="shared" si="9"/>
        <v>-371</v>
      </c>
      <c r="M60" s="45">
        <f t="shared" si="17"/>
        <v>-371</v>
      </c>
      <c r="N60" s="45">
        <f t="shared" si="18"/>
        <v>0</v>
      </c>
      <c r="O60" s="47">
        <f t="shared" si="12"/>
        <v>0</v>
      </c>
      <c r="P60" s="47" t="str">
        <f t="shared" si="13"/>
        <v/>
      </c>
      <c r="Q60" s="47">
        <f t="shared" si="14"/>
        <v>0</v>
      </c>
      <c r="R60" s="47">
        <f t="shared" si="15"/>
        <v>0</v>
      </c>
      <c r="S60" s="1"/>
      <c r="T60" s="1"/>
      <c r="U60" s="1"/>
      <c r="V60" s="1"/>
      <c r="X60" s="1"/>
      <c r="Y60" s="1"/>
    </row>
    <row r="61" ht="34.5">
      <c r="A61" s="66"/>
      <c r="B61" s="42"/>
      <c r="C61" s="49" t="s">
        <v>127</v>
      </c>
      <c r="D61" s="57" t="s">
        <v>128</v>
      </c>
      <c r="E61" s="45">
        <v>56186.870000000003</v>
      </c>
      <c r="F61" s="45">
        <f>8722.7+46498.4</f>
        <v>55221.100000000006</v>
      </c>
      <c r="G61" s="45">
        <f>2361.2+32411.6+4355</f>
        <v>39127.799999999996</v>
      </c>
      <c r="H61" s="45">
        <f>1171.7+32411.6+4355</f>
        <v>37938.299999999996</v>
      </c>
      <c r="I61" s="45">
        <v>52643.399999999994</v>
      </c>
      <c r="J61" s="45">
        <v>2682.21</v>
      </c>
      <c r="K61" s="45">
        <f t="shared" si="16"/>
        <v>-3543.4700000000084</v>
      </c>
      <c r="L61" s="45">
        <f t="shared" si="9"/>
        <v>13515.599999999999</v>
      </c>
      <c r="M61" s="45">
        <f t="shared" si="17"/>
        <v>-2577.7000000000116</v>
      </c>
      <c r="N61" s="45">
        <f t="shared" si="18"/>
        <v>-35256.089999999997</v>
      </c>
      <c r="O61" s="47">
        <f t="shared" si="12"/>
        <v>0.93693419832782987</v>
      </c>
      <c r="P61" s="47">
        <f t="shared" si="13"/>
        <v>0.070699266967681751</v>
      </c>
      <c r="Q61" s="47">
        <f t="shared" si="14"/>
        <v>1.3454219250762884</v>
      </c>
      <c r="R61" s="47">
        <f t="shared" si="15"/>
        <v>0.95332037934774916</v>
      </c>
      <c r="S61" s="1"/>
      <c r="T61" s="1"/>
      <c r="U61" s="1"/>
      <c r="V61" s="1"/>
      <c r="X61" s="1"/>
      <c r="Y61" s="1"/>
    </row>
    <row r="62" ht="17.25">
      <c r="A62" s="66"/>
      <c r="B62" s="42"/>
      <c r="C62" s="43" t="s">
        <v>55</v>
      </c>
      <c r="D62" s="56" t="s">
        <v>56</v>
      </c>
      <c r="E62" s="45">
        <v>73716.279999999999</v>
      </c>
      <c r="F62" s="45">
        <f>103985.4+109296.2</f>
        <v>213281.59999999998</v>
      </c>
      <c r="G62" s="45">
        <f>55483+18215.1</f>
        <v>73698.100000000006</v>
      </c>
      <c r="H62" s="45">
        <f>9966.2+18215.1</f>
        <v>28181.299999999999</v>
      </c>
      <c r="I62" s="45">
        <v>102788.15000000001</v>
      </c>
      <c r="J62" s="45">
        <v>7946.9200000000001</v>
      </c>
      <c r="K62" s="45">
        <f t="shared" si="16"/>
        <v>29071.87000000001</v>
      </c>
      <c r="L62" s="45">
        <f t="shared" si="9"/>
        <v>29090.050000000003</v>
      </c>
      <c r="M62" s="45">
        <f t="shared" si="17"/>
        <v>-110493.44999999997</v>
      </c>
      <c r="N62" s="45">
        <f t="shared" si="18"/>
        <v>-20234.379999999997</v>
      </c>
      <c r="O62" s="47">
        <f t="shared" si="12"/>
        <v>1.3943751638037081</v>
      </c>
      <c r="P62" s="47">
        <f t="shared" si="13"/>
        <v>0.28199266889746039</v>
      </c>
      <c r="Q62" s="47">
        <f t="shared" si="14"/>
        <v>1.3947191311580625</v>
      </c>
      <c r="R62" s="47">
        <f t="shared" si="15"/>
        <v>0.48193632268325076</v>
      </c>
      <c r="S62" s="1"/>
      <c r="T62" s="1"/>
      <c r="U62" s="1"/>
      <c r="V62" s="1"/>
      <c r="X62" s="1"/>
      <c r="Y62" s="1"/>
    </row>
    <row r="63" ht="17.25">
      <c r="A63" s="66"/>
      <c r="B63" s="42"/>
      <c r="C63" s="49" t="s">
        <v>129</v>
      </c>
      <c r="D63" s="57" t="s">
        <v>130</v>
      </c>
      <c r="E63" s="45">
        <v>-257.41000000000003</v>
      </c>
      <c r="F63" s="45">
        <v>0</v>
      </c>
      <c r="G63" s="45">
        <v>0</v>
      </c>
      <c r="H63" s="45">
        <v>0</v>
      </c>
      <c r="I63" s="45">
        <v>120.36</v>
      </c>
      <c r="J63" s="45">
        <v>-22.699999999999999</v>
      </c>
      <c r="K63" s="45">
        <f t="shared" si="16"/>
        <v>377.77000000000004</v>
      </c>
      <c r="L63" s="45">
        <f t="shared" si="9"/>
        <v>120.36</v>
      </c>
      <c r="M63" s="45">
        <f t="shared" si="17"/>
        <v>120.36</v>
      </c>
      <c r="N63" s="45">
        <f t="shared" si="18"/>
        <v>-22.699999999999999</v>
      </c>
      <c r="O63" s="47">
        <f t="shared" si="12"/>
        <v>-0.46758090206285685</v>
      </c>
      <c r="P63" s="47" t="str">
        <f t="shared" si="13"/>
        <v/>
      </c>
      <c r="Q63" s="47" t="str">
        <f t="shared" si="14"/>
        <v/>
      </c>
      <c r="R63" s="47" t="str">
        <f t="shared" si="15"/>
        <v/>
      </c>
      <c r="S63" s="1"/>
      <c r="T63" s="1"/>
      <c r="U63" s="1"/>
      <c r="V63" s="1"/>
      <c r="X63" s="1"/>
      <c r="Y63" s="1"/>
    </row>
    <row r="64" ht="17.25">
      <c r="A64" s="66"/>
      <c r="B64" s="42"/>
      <c r="C64" s="43" t="s">
        <v>131</v>
      </c>
      <c r="D64" s="56" t="s">
        <v>132</v>
      </c>
      <c r="E64" s="45">
        <v>688.59000000000003</v>
      </c>
      <c r="F64" s="45">
        <v>38614.970000000001</v>
      </c>
      <c r="G64" s="45">
        <v>38614.970000000001</v>
      </c>
      <c r="H64" s="45">
        <v>38614.970000000001</v>
      </c>
      <c r="I64" s="45">
        <v>40209.349999999999</v>
      </c>
      <c r="J64" s="45">
        <v>777.66000000000008</v>
      </c>
      <c r="K64" s="45">
        <f t="shared" si="16"/>
        <v>39520.760000000002</v>
      </c>
      <c r="L64" s="45">
        <f t="shared" si="9"/>
        <v>1594.3799999999974</v>
      </c>
      <c r="M64" s="45">
        <f t="shared" si="17"/>
        <v>1594.3799999999974</v>
      </c>
      <c r="N64" s="45">
        <f t="shared" si="18"/>
        <v>-37837.309999999998</v>
      </c>
      <c r="O64" s="47">
        <f t="shared" si="12"/>
        <v>58.393746641688082</v>
      </c>
      <c r="P64" s="47">
        <f t="shared" si="13"/>
        <v>0.020138821809262058</v>
      </c>
      <c r="Q64" s="47">
        <f t="shared" si="14"/>
        <v>1.0412891684235415</v>
      </c>
      <c r="R64" s="47">
        <f t="shared" si="15"/>
        <v>1.0412891684235415</v>
      </c>
      <c r="S64" s="1"/>
      <c r="T64" s="1"/>
      <c r="U64" s="1"/>
      <c r="V64" s="1"/>
      <c r="X64" s="1"/>
      <c r="Y64" s="1"/>
    </row>
    <row r="65" ht="22.5">
      <c r="A65" s="66"/>
      <c r="B65" s="42"/>
      <c r="C65" s="49" t="s">
        <v>133</v>
      </c>
      <c r="D65" s="57" t="s">
        <v>134</v>
      </c>
      <c r="E65" s="45">
        <v>619.54999999999995</v>
      </c>
      <c r="F65" s="45">
        <v>0</v>
      </c>
      <c r="G65" s="45">
        <v>0</v>
      </c>
      <c r="H65" s="45">
        <v>0</v>
      </c>
      <c r="I65" s="45">
        <v>5852.1199999999999</v>
      </c>
      <c r="J65" s="45">
        <v>0</v>
      </c>
      <c r="K65" s="45">
        <f t="shared" si="16"/>
        <v>5232.5699999999997</v>
      </c>
      <c r="L65" s="45">
        <f t="shared" si="9"/>
        <v>5852.1199999999999</v>
      </c>
      <c r="M65" s="45">
        <f t="shared" si="17"/>
        <v>5852.1199999999999</v>
      </c>
      <c r="N65" s="45">
        <f t="shared" si="18"/>
        <v>0</v>
      </c>
      <c r="O65" s="47">
        <f t="shared" si="12"/>
        <v>9.4457590186425637</v>
      </c>
      <c r="P65" s="47" t="str">
        <f t="shared" si="13"/>
        <v/>
      </c>
      <c r="Q65" s="47" t="str">
        <f t="shared" si="14"/>
        <v/>
      </c>
      <c r="R65" s="47" t="str">
        <f t="shared" si="15"/>
        <v/>
      </c>
      <c r="S65" s="1"/>
      <c r="T65" s="1"/>
      <c r="U65" s="1"/>
      <c r="V65" s="1"/>
      <c r="X65" s="1"/>
      <c r="Y65" s="1"/>
    </row>
    <row r="66" s="58" customFormat="1" ht="15">
      <c r="A66" s="68"/>
      <c r="B66" s="60"/>
      <c r="C66" s="69"/>
      <c r="D66" s="70" t="s">
        <v>57</v>
      </c>
      <c r="E66" s="62">
        <f>SUM(E58:E65)</f>
        <v>132159.60999999999</v>
      </c>
      <c r="F66" s="62">
        <f>SUM(F58:F65)</f>
        <v>307545.37</v>
      </c>
      <c r="G66" s="62">
        <f>SUM(G58:G65)</f>
        <v>151868.57000000001</v>
      </c>
      <c r="H66" s="62">
        <f>SUM(H58:H65)</f>
        <v>104734.56999999999</v>
      </c>
      <c r="I66" s="62">
        <f>SUM(I58:I65)</f>
        <v>205475.17999999999</v>
      </c>
      <c r="J66" s="62">
        <f>SUM(J58:J65)</f>
        <v>11489.74</v>
      </c>
      <c r="K66" s="62">
        <f t="shared" si="16"/>
        <v>73315.570000000007</v>
      </c>
      <c r="L66" s="62">
        <f t="shared" si="9"/>
        <v>53606.609999999986</v>
      </c>
      <c r="M66" s="62">
        <f t="shared" si="17"/>
        <v>-102070.19</v>
      </c>
      <c r="N66" s="62">
        <f t="shared" si="18"/>
        <v>-93244.829999999987</v>
      </c>
      <c r="O66" s="63">
        <f t="shared" si="12"/>
        <v>1.5547501993990449</v>
      </c>
      <c r="P66" s="63">
        <f t="shared" si="13"/>
        <v>0.10970341502332993</v>
      </c>
      <c r="Q66" s="63">
        <f t="shared" si="14"/>
        <v>1.3529802776176794</v>
      </c>
      <c r="R66" s="63">
        <f t="shared" si="15"/>
        <v>0.66811339087953103</v>
      </c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</row>
    <row r="67" s="34" customFormat="1" ht="36.75" customHeight="1">
      <c r="A67" s="89"/>
      <c r="B67" s="90"/>
      <c r="C67" s="91"/>
      <c r="D67" s="92" t="s">
        <v>135</v>
      </c>
      <c r="E67" s="53">
        <f>E5+E17</f>
        <v>14467622.341791045</v>
      </c>
      <c r="F67" s="53">
        <f>F5+F17</f>
        <v>35893709.970000006</v>
      </c>
      <c r="G67" s="53">
        <f>G5+G17</f>
        <v>18297066.370000001</v>
      </c>
      <c r="H67" s="53">
        <f>H5+H17</f>
        <v>4654745.3700000001</v>
      </c>
      <c r="I67" s="53">
        <f>I5+I17</f>
        <v>15305618.369999999</v>
      </c>
      <c r="J67" s="53">
        <f>J5+J17</f>
        <v>1338178.8599999999</v>
      </c>
      <c r="K67" s="53">
        <f t="shared" si="16"/>
        <v>837996.02820895426</v>
      </c>
      <c r="L67" s="53">
        <f t="shared" si="9"/>
        <v>-2991448.0000000019</v>
      </c>
      <c r="M67" s="53">
        <f t="shared" si="17"/>
        <v>-20588091.600000009</v>
      </c>
      <c r="N67" s="53">
        <f t="shared" si="18"/>
        <v>-3316566.5100000002</v>
      </c>
      <c r="O67" s="40">
        <f t="shared" si="12"/>
        <v>1.0579221663665028</v>
      </c>
      <c r="P67" s="40">
        <f t="shared" si="13"/>
        <v>0.28748701671730753</v>
      </c>
      <c r="Q67" s="40">
        <f t="shared" si="14"/>
        <v>0.83650668694601227</v>
      </c>
      <c r="R67" s="40">
        <f t="shared" si="15"/>
        <v>0.42641505664341883</v>
      </c>
      <c r="S67" s="34"/>
      <c r="T67" s="34"/>
      <c r="U67" s="34"/>
      <c r="V67" s="34"/>
      <c r="W67" s="34"/>
      <c r="X67" s="34"/>
      <c r="Y67" s="34"/>
    </row>
    <row r="68" s="34" customFormat="1" ht="23.25" customHeight="1">
      <c r="A68" s="93"/>
      <c r="B68" s="94"/>
      <c r="C68" s="95"/>
      <c r="D68" s="96" t="s">
        <v>136</v>
      </c>
      <c r="E68" s="53">
        <f>SUM(E69:E77)</f>
        <v>14710290.120000001</v>
      </c>
      <c r="F68" s="53">
        <f>SUM(F69:F77)</f>
        <v>26323476.939999998</v>
      </c>
      <c r="G68" s="53">
        <f>SUM(G69:G77)</f>
        <v>14349629.91</v>
      </c>
      <c r="H68" s="53">
        <f>SUM(H69:H77)</f>
        <v>1489810.8400000001</v>
      </c>
      <c r="I68" s="53">
        <f>SUM(I69:I77)</f>
        <v>14264351.200000001</v>
      </c>
      <c r="J68" s="53">
        <f>SUM(J69:J77)</f>
        <v>1372219.3599999999</v>
      </c>
      <c r="K68" s="53">
        <f t="shared" si="16"/>
        <v>-445938.91999999993</v>
      </c>
      <c r="L68" s="53">
        <f t="shared" si="9"/>
        <v>-85278.709999999031</v>
      </c>
      <c r="M68" s="53">
        <f t="shared" si="17"/>
        <v>-12059125.739999996</v>
      </c>
      <c r="N68" s="53">
        <f t="shared" si="18"/>
        <v>-117591.48000000021</v>
      </c>
      <c r="O68" s="40">
        <f t="shared" si="12"/>
        <v>0.96968523962734732</v>
      </c>
      <c r="P68" s="40">
        <f t="shared" si="13"/>
        <v>0.92106952316174573</v>
      </c>
      <c r="Q68" s="40">
        <f t="shared" si="14"/>
        <v>0.99405707948324373</v>
      </c>
      <c r="R68" s="40">
        <f t="shared" si="15"/>
        <v>0.54188704753985295</v>
      </c>
      <c r="S68" s="34"/>
      <c r="T68" s="34"/>
      <c r="U68" s="34"/>
      <c r="V68" s="34"/>
      <c r="W68" s="34"/>
      <c r="X68" s="34"/>
      <c r="Y68" s="34"/>
    </row>
    <row r="69" ht="22.5">
      <c r="A69" s="41"/>
      <c r="B69" s="54"/>
      <c r="C69" s="49" t="s">
        <v>137</v>
      </c>
      <c r="D69" s="97" t="s">
        <v>138</v>
      </c>
      <c r="E69" s="45">
        <v>217715.60000000001</v>
      </c>
      <c r="F69" s="45">
        <f>415518.3+34014.9</f>
        <v>449533.20000000001</v>
      </c>
      <c r="G69" s="45">
        <f>265314.7+34014.9</f>
        <v>299329.60000000003</v>
      </c>
      <c r="H69" s="45">
        <v>34014.900000000001</v>
      </c>
      <c r="I69" s="45">
        <v>299329.59999999998</v>
      </c>
      <c r="J69" s="45">
        <v>0</v>
      </c>
      <c r="K69" s="45">
        <f t="shared" si="16"/>
        <v>81613.999999999971</v>
      </c>
      <c r="L69" s="45">
        <f t="shared" si="9"/>
        <v>-5.8207660913467407e-11</v>
      </c>
      <c r="M69" s="45">
        <f t="shared" si="17"/>
        <v>-150203.60000000003</v>
      </c>
      <c r="N69" s="45">
        <f t="shared" si="18"/>
        <v>-34014.900000000001</v>
      </c>
      <c r="O69" s="47">
        <f t="shared" si="12"/>
        <v>1.3748651911025207</v>
      </c>
      <c r="P69" s="47">
        <f t="shared" si="13"/>
        <v>0</v>
      </c>
      <c r="Q69" s="47">
        <f t="shared" si="14"/>
        <v>0.99999999999999978</v>
      </c>
      <c r="R69" s="47">
        <f t="shared" si="15"/>
        <v>0.66586761556209861</v>
      </c>
      <c r="S69" s="1"/>
      <c r="T69" s="1"/>
      <c r="U69" s="1"/>
      <c r="V69" s="1"/>
      <c r="X69" s="1"/>
      <c r="Y69" s="1"/>
    </row>
    <row r="70" ht="18" customHeight="1">
      <c r="A70" s="48"/>
      <c r="B70" s="42"/>
      <c r="C70" s="43" t="s">
        <v>139</v>
      </c>
      <c r="D70" s="98" t="s">
        <v>140</v>
      </c>
      <c r="E70" s="45">
        <v>2889724.6600000001</v>
      </c>
      <c r="F70" s="45">
        <v>6681476.2000000002</v>
      </c>
      <c r="G70" s="45">
        <v>1827548.02</v>
      </c>
      <c r="H70" s="45">
        <v>298862.92999999999</v>
      </c>
      <c r="I70" s="45">
        <v>1827548.02</v>
      </c>
      <c r="J70" s="45">
        <v>298862.92999999999</v>
      </c>
      <c r="K70" s="45">
        <f t="shared" si="16"/>
        <v>-1062176.6400000001</v>
      </c>
      <c r="L70" s="45">
        <f t="shared" si="9"/>
        <v>0</v>
      </c>
      <c r="M70" s="45">
        <f t="shared" si="17"/>
        <v>-4853928.1799999997</v>
      </c>
      <c r="N70" s="45">
        <f t="shared" si="18"/>
        <v>0</v>
      </c>
      <c r="O70" s="47">
        <f t="shared" si="12"/>
        <v>0.63242981080418914</v>
      </c>
      <c r="P70" s="47">
        <f t="shared" si="13"/>
        <v>1</v>
      </c>
      <c r="Q70" s="47">
        <f t="shared" si="14"/>
        <v>1</v>
      </c>
      <c r="R70" s="47">
        <f t="shared" si="15"/>
        <v>0.27352458727608725</v>
      </c>
      <c r="S70" s="1"/>
      <c r="T70" s="1"/>
      <c r="U70" s="1"/>
      <c r="V70" s="1"/>
      <c r="X70" s="1"/>
      <c r="Y70" s="1"/>
    </row>
    <row r="71" ht="16.5" customHeight="1">
      <c r="A71" s="48"/>
      <c r="B71" s="42"/>
      <c r="C71" s="49" t="s">
        <v>141</v>
      </c>
      <c r="D71" s="98" t="s">
        <v>142</v>
      </c>
      <c r="E71" s="45">
        <v>8339389.2199999997</v>
      </c>
      <c r="F71" s="45">
        <v>15931150.829999998</v>
      </c>
      <c r="G71" s="45">
        <v>9958613.3000000007</v>
      </c>
      <c r="H71" s="45">
        <v>1056106.1799999999</v>
      </c>
      <c r="I71" s="45">
        <v>9958613.3000000007</v>
      </c>
      <c r="J71" s="46">
        <v>1056106.1799999999</v>
      </c>
      <c r="K71" s="45">
        <f t="shared" si="16"/>
        <v>1619224.080000001</v>
      </c>
      <c r="L71" s="45">
        <f t="shared" si="9"/>
        <v>0</v>
      </c>
      <c r="M71" s="45">
        <f t="shared" si="17"/>
        <v>-5972537.5299999975</v>
      </c>
      <c r="N71" s="45">
        <f t="shared" si="18"/>
        <v>0</v>
      </c>
      <c r="O71" s="47">
        <f t="shared" si="12"/>
        <v>1.1941657880791419</v>
      </c>
      <c r="P71" s="47">
        <f t="shared" si="13"/>
        <v>1</v>
      </c>
      <c r="Q71" s="47">
        <f t="shared" si="14"/>
        <v>1</v>
      </c>
      <c r="R71" s="47">
        <f t="shared" si="15"/>
        <v>0.62510319601311581</v>
      </c>
      <c r="S71" s="1"/>
      <c r="T71" s="1"/>
      <c r="U71" s="1"/>
      <c r="V71" s="1"/>
      <c r="X71" s="1"/>
      <c r="Y71" s="1"/>
    </row>
    <row r="72" ht="22.5">
      <c r="A72" s="48"/>
      <c r="B72" s="42"/>
      <c r="C72" s="43" t="s">
        <v>143</v>
      </c>
      <c r="D72" s="99" t="s">
        <v>144</v>
      </c>
      <c r="E72" s="45">
        <v>2378380.8999999999</v>
      </c>
      <c r="F72" s="45">
        <v>3209835.8199999998</v>
      </c>
      <c r="G72" s="45">
        <f>2212658.1</f>
        <v>2212658.1000000001</v>
      </c>
      <c r="H72" s="45">
        <f>55990.54</f>
        <v>55990.540000000001</v>
      </c>
      <c r="I72" s="45">
        <v>2170728.9399999999</v>
      </c>
      <c r="J72" s="45">
        <v>17735.540000000001</v>
      </c>
      <c r="K72" s="45">
        <f t="shared" si="16"/>
        <v>-207651.95999999996</v>
      </c>
      <c r="L72" s="45">
        <f t="shared" si="9"/>
        <v>-41929.160000000149</v>
      </c>
      <c r="M72" s="45">
        <f t="shared" si="17"/>
        <v>-1039106.8799999999</v>
      </c>
      <c r="N72" s="45">
        <f t="shared" si="18"/>
        <v>-38255</v>
      </c>
      <c r="O72" s="47">
        <f t="shared" si="12"/>
        <v>0.91269188211190222</v>
      </c>
      <c r="P72" s="47">
        <f t="shared" si="13"/>
        <v>0.31675958117210518</v>
      </c>
      <c r="Q72" s="47">
        <f t="shared" si="14"/>
        <v>0.98105032133071068</v>
      </c>
      <c r="R72" s="47">
        <f t="shared" si="15"/>
        <v>0.67627413417051341</v>
      </c>
      <c r="S72" s="1"/>
      <c r="T72" s="1"/>
      <c r="U72" s="1"/>
      <c r="V72" s="1"/>
      <c r="X72" s="1"/>
      <c r="Y72" s="1"/>
    </row>
    <row r="73" ht="33">
      <c r="A73" s="48"/>
      <c r="B73" s="42"/>
      <c r="C73" s="49" t="s">
        <v>145</v>
      </c>
      <c r="D73" s="99" t="s">
        <v>146</v>
      </c>
      <c r="E73" s="45">
        <v>446.22000000000003</v>
      </c>
      <c r="F73" s="45">
        <v>0</v>
      </c>
      <c r="G73" s="45">
        <v>0</v>
      </c>
      <c r="H73" s="45">
        <v>0</v>
      </c>
      <c r="I73" s="45">
        <v>7534.4099999999999</v>
      </c>
      <c r="J73" s="45">
        <v>370</v>
      </c>
      <c r="K73" s="45">
        <f t="shared" si="16"/>
        <v>7088.1899999999996</v>
      </c>
      <c r="L73" s="45">
        <f t="shared" si="9"/>
        <v>7534.4099999999999</v>
      </c>
      <c r="M73" s="45">
        <f t="shared" si="17"/>
        <v>7534.4099999999999</v>
      </c>
      <c r="N73" s="45">
        <f t="shared" si="18"/>
        <v>370</v>
      </c>
      <c r="O73" s="88">
        <f t="shared" si="12"/>
        <v>16.884967056608847</v>
      </c>
      <c r="P73" s="47" t="str">
        <f t="shared" si="13"/>
        <v/>
      </c>
      <c r="Q73" s="47" t="str">
        <f t="shared" si="14"/>
        <v/>
      </c>
      <c r="R73" s="47" t="str">
        <f t="shared" si="15"/>
        <v/>
      </c>
      <c r="S73" s="1"/>
      <c r="T73" s="1"/>
      <c r="U73" s="1"/>
      <c r="V73" s="1"/>
      <c r="X73" s="1"/>
      <c r="Y73" s="1"/>
    </row>
    <row r="74" ht="19.5" customHeight="1">
      <c r="A74" s="48"/>
      <c r="B74" s="42"/>
      <c r="C74" s="43" t="s">
        <v>147</v>
      </c>
      <c r="D74" s="99" t="s">
        <v>148</v>
      </c>
      <c r="E74" s="45">
        <v>931777.56999999995</v>
      </c>
      <c r="F74" s="45">
        <v>44836.290000000001</v>
      </c>
      <c r="G74" s="45">
        <v>44836.290000000001</v>
      </c>
      <c r="H74" s="45">
        <v>44836.290000000001</v>
      </c>
      <c r="I74" s="45">
        <v>44836.290000000001</v>
      </c>
      <c r="J74" s="45">
        <v>0</v>
      </c>
      <c r="K74" s="45">
        <f t="shared" si="16"/>
        <v>-886941.27999999991</v>
      </c>
      <c r="L74" s="45">
        <f t="shared" ref="L74:L78" si="19">I74-G74</f>
        <v>0</v>
      </c>
      <c r="M74" s="45">
        <f t="shared" si="17"/>
        <v>0</v>
      </c>
      <c r="N74" s="45">
        <f t="shared" si="18"/>
        <v>-44836.290000000001</v>
      </c>
      <c r="O74" s="47">
        <f t="shared" ref="O74:O78" si="20">IFERROR(I74/E74,"")</f>
        <v>0.048119091340651184</v>
      </c>
      <c r="P74" s="47">
        <f t="shared" ref="P74:P78" si="21">IFERROR(J74/H74,"")</f>
        <v>0</v>
      </c>
      <c r="Q74" s="47">
        <f t="shared" ref="Q74:Q78" si="22">IFERROR(I74/G74,"")</f>
        <v>1</v>
      </c>
      <c r="R74" s="47">
        <f t="shared" ref="R74:R78" si="23">IFERROR(I74/F74,"")</f>
        <v>1</v>
      </c>
      <c r="S74" s="1"/>
      <c r="T74" s="1"/>
      <c r="U74" s="1"/>
      <c r="V74" s="1"/>
      <c r="X74" s="1"/>
      <c r="Y74" s="1"/>
    </row>
    <row r="75" ht="30" hidden="1" customHeight="1">
      <c r="A75" s="35"/>
      <c r="B75" s="36"/>
      <c r="C75" s="49" t="s">
        <v>149</v>
      </c>
      <c r="D75" s="100" t="s">
        <v>150</v>
      </c>
      <c r="E75" s="50"/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f t="shared" si="16"/>
        <v>0</v>
      </c>
      <c r="L75" s="50">
        <f t="shared" si="19"/>
        <v>0</v>
      </c>
      <c r="M75" s="50">
        <f t="shared" si="17"/>
        <v>0</v>
      </c>
      <c r="N75" s="50">
        <f t="shared" si="18"/>
        <v>0</v>
      </c>
      <c r="O75" s="101" t="str">
        <f t="shared" si="20"/>
        <v/>
      </c>
      <c r="P75" s="47" t="str">
        <f t="shared" si="21"/>
        <v/>
      </c>
      <c r="Q75" s="47" t="str">
        <f t="shared" si="22"/>
        <v/>
      </c>
      <c r="R75" s="47" t="str">
        <f t="shared" si="23"/>
        <v/>
      </c>
      <c r="S75" s="1"/>
      <c r="T75" s="1"/>
      <c r="U75" s="1"/>
      <c r="V75" s="1"/>
      <c r="X75" s="1"/>
      <c r="Y75" s="1"/>
    </row>
    <row r="76" ht="33">
      <c r="A76" s="48"/>
      <c r="B76" s="42"/>
      <c r="C76" s="43" t="s">
        <v>151</v>
      </c>
      <c r="D76" s="102" t="s">
        <v>152</v>
      </c>
      <c r="E76" s="45">
        <v>80740.360000000001</v>
      </c>
      <c r="F76" s="45">
        <v>6644.5999999999995</v>
      </c>
      <c r="G76" s="45">
        <v>6644.5999999999995</v>
      </c>
      <c r="H76" s="45">
        <v>0</v>
      </c>
      <c r="I76" s="45">
        <v>27620.330000000002</v>
      </c>
      <c r="J76" s="45">
        <v>1068.1600000000001</v>
      </c>
      <c r="K76" s="45">
        <f t="shared" si="16"/>
        <v>-53120.029999999999</v>
      </c>
      <c r="L76" s="45">
        <f t="shared" si="19"/>
        <v>20975.730000000003</v>
      </c>
      <c r="M76" s="45">
        <f t="shared" si="17"/>
        <v>20975.730000000003</v>
      </c>
      <c r="N76" s="45">
        <f t="shared" si="18"/>
        <v>1068.1600000000001</v>
      </c>
      <c r="O76" s="47">
        <f t="shared" si="20"/>
        <v>0.34208826911348922</v>
      </c>
      <c r="P76" s="47" t="str">
        <f t="shared" si="21"/>
        <v/>
      </c>
      <c r="Q76" s="47">
        <f t="shared" si="22"/>
        <v>4.1568085362550047</v>
      </c>
      <c r="R76" s="47">
        <f t="shared" si="23"/>
        <v>4.1568085362550047</v>
      </c>
      <c r="S76" s="1"/>
      <c r="T76" s="1"/>
      <c r="U76" s="1"/>
      <c r="V76" s="1"/>
      <c r="X76" s="1"/>
      <c r="Y76" s="1"/>
    </row>
    <row r="77" ht="19.5" customHeight="1">
      <c r="A77" s="48"/>
      <c r="B77" s="42"/>
      <c r="C77" s="49" t="s">
        <v>153</v>
      </c>
      <c r="D77" s="102" t="s">
        <v>154</v>
      </c>
      <c r="E77" s="45">
        <v>-127884.41</v>
      </c>
      <c r="F77" s="45">
        <v>0</v>
      </c>
      <c r="G77" s="45">
        <v>0</v>
      </c>
      <c r="H77" s="45">
        <v>0</v>
      </c>
      <c r="I77" s="45">
        <v>-71859.690000000002</v>
      </c>
      <c r="J77" s="45">
        <v>-1923.4500000000003</v>
      </c>
      <c r="K77" s="45">
        <f t="shared" si="16"/>
        <v>56024.720000000001</v>
      </c>
      <c r="L77" s="45">
        <f t="shared" si="19"/>
        <v>-71859.690000000002</v>
      </c>
      <c r="M77" s="45">
        <f t="shared" si="17"/>
        <v>-71859.690000000002</v>
      </c>
      <c r="N77" s="45">
        <f t="shared" si="18"/>
        <v>-1923.4500000000003</v>
      </c>
      <c r="O77" s="47">
        <f t="shared" si="20"/>
        <v>0.56191126033267069</v>
      </c>
      <c r="P77" s="47" t="str">
        <f t="shared" si="21"/>
        <v/>
      </c>
      <c r="Q77" s="47" t="str">
        <f t="shared" si="22"/>
        <v/>
      </c>
      <c r="R77" s="47" t="str">
        <f t="shared" si="23"/>
        <v/>
      </c>
      <c r="S77" s="1"/>
      <c r="T77" s="1"/>
      <c r="U77" s="1"/>
      <c r="V77" s="1"/>
      <c r="X77" s="1"/>
      <c r="Y77" s="1"/>
    </row>
    <row r="78" s="34" customFormat="1" ht="27" customHeight="1">
      <c r="A78" s="103"/>
      <c r="B78" s="104"/>
      <c r="C78" s="105"/>
      <c r="D78" s="106" t="s">
        <v>155</v>
      </c>
      <c r="E78" s="53">
        <f>E67+E68</f>
        <v>29177912.461791046</v>
      </c>
      <c r="F78" s="53">
        <f>F67+F68</f>
        <v>62217186.910000004</v>
      </c>
      <c r="G78" s="53">
        <f>G67+G68</f>
        <v>32646696.280000001</v>
      </c>
      <c r="H78" s="53">
        <f>H67+H68</f>
        <v>6144556.21</v>
      </c>
      <c r="I78" s="53">
        <f>I67+I68</f>
        <v>29569969.57</v>
      </c>
      <c r="J78" s="53">
        <f>J67+J68</f>
        <v>2710398.2199999997</v>
      </c>
      <c r="K78" s="53">
        <f t="shared" si="16"/>
        <v>392057.10820895433</v>
      </c>
      <c r="L78" s="53">
        <f t="shared" si="19"/>
        <v>-3076726.7100000009</v>
      </c>
      <c r="M78" s="53">
        <f t="shared" si="17"/>
        <v>-32647217.340000004</v>
      </c>
      <c r="N78" s="53">
        <f t="shared" si="18"/>
        <v>-3434157.9900000002</v>
      </c>
      <c r="O78" s="40">
        <f t="shared" si="20"/>
        <v>1.0134367771759669</v>
      </c>
      <c r="P78" s="40">
        <f t="shared" si="21"/>
        <v>0.44110561078258892</v>
      </c>
      <c r="Q78" s="40">
        <f t="shared" si="22"/>
        <v>0.90575687403062399</v>
      </c>
      <c r="R78" s="40">
        <f t="shared" si="23"/>
        <v>0.47527011487636539</v>
      </c>
      <c r="S78" s="34"/>
      <c r="T78" s="34"/>
      <c r="U78" s="34"/>
      <c r="V78" s="34"/>
      <c r="W78" s="34"/>
      <c r="X78" s="34"/>
      <c r="Y78" s="34"/>
    </row>
    <row r="79">
      <c r="A79" s="107" t="s">
        <v>156</v>
      </c>
      <c r="B79" s="108" t="s">
        <v>157</v>
      </c>
      <c r="C79" s="55"/>
      <c r="D79" s="109"/>
      <c r="E79" s="110"/>
      <c r="F79" s="111"/>
      <c r="G79" s="111"/>
      <c r="H79" s="111"/>
      <c r="I79" s="112"/>
      <c r="J79" s="112"/>
      <c r="K79" s="113"/>
      <c r="L79" s="113"/>
      <c r="M79" s="111"/>
      <c r="N79" s="111"/>
      <c r="O79" s="111"/>
      <c r="P79" s="1"/>
      <c r="Q79" s="1"/>
      <c r="R79" s="1"/>
      <c r="S79" s="1"/>
      <c r="T79" s="1"/>
      <c r="U79" s="1"/>
      <c r="V79" s="1"/>
    </row>
    <row r="80">
      <c r="E80" s="5"/>
      <c r="S80" s="1"/>
      <c r="T80" s="1"/>
      <c r="U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ht="12.75">
      <c r="E83" s="5"/>
      <c r="F83" s="1"/>
      <c r="G83" s="1"/>
      <c r="H83" s="6"/>
      <c r="I83" s="7"/>
      <c r="J83" s="7"/>
      <c r="K83" s="8"/>
      <c r="L83" s="8"/>
      <c r="S83" s="1"/>
      <c r="T83" s="1"/>
      <c r="U83" s="1"/>
      <c r="V83" s="1"/>
    </row>
    <row r="84" ht="12.75">
      <c r="F84" s="1"/>
      <c r="H84" s="6"/>
      <c r="I84" s="7"/>
      <c r="J84" s="7"/>
      <c r="S84" s="1"/>
      <c r="U84" s="1"/>
      <c r="V84" s="1"/>
    </row>
    <row r="85" ht="12.75">
      <c r="F85" s="1"/>
      <c r="H85" s="6"/>
      <c r="I85" s="7"/>
      <c r="J85" s="7"/>
      <c r="S85" s="1"/>
      <c r="U85" s="1"/>
      <c r="V85" s="1"/>
    </row>
    <row r="86" ht="12.75">
      <c r="F86" s="1"/>
      <c r="H86" s="6"/>
      <c r="I86" s="7"/>
      <c r="J86" s="7"/>
      <c r="S86" s="1"/>
      <c r="U86" s="1"/>
      <c r="V86" s="1"/>
    </row>
    <row r="87" ht="12.75">
      <c r="E87" s="5"/>
      <c r="F87" s="1"/>
      <c r="H87" s="6"/>
      <c r="I87" s="7"/>
      <c r="J87" s="7"/>
      <c r="S87" s="1"/>
      <c r="U87" s="1"/>
      <c r="V87" s="1"/>
    </row>
    <row r="88" ht="12.75">
      <c r="H88" s="6"/>
      <c r="S88" s="1"/>
    </row>
    <row r="89" ht="12.75">
      <c r="H89" s="6"/>
      <c r="I89" s="7"/>
      <c r="J89" s="7"/>
      <c r="K89" s="8"/>
      <c r="S89" s="1"/>
      <c r="T89" s="1"/>
      <c r="V89" s="1"/>
    </row>
    <row r="90" ht="12.75">
      <c r="H90" s="6"/>
      <c r="I90" s="7"/>
      <c r="J90" s="7"/>
      <c r="K90" s="8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5" ht="12.75">
      <c r="F105" s="1"/>
      <c r="G105" s="1"/>
      <c r="H105" s="6"/>
    </row>
  </sheetData>
  <autoFilter ref="A4:R80"/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bogdanova-aa</cp:lastModifiedBy>
  <cp:revision>146</cp:revision>
  <dcterms:created xsi:type="dcterms:W3CDTF">2015-02-26T11:08:47Z</dcterms:created>
  <dcterms:modified xsi:type="dcterms:W3CDTF">2025-07-21T06:30:40Z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