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28.07.2025" sheetId="1" state="visible" r:id="rId1"/>
  </sheets>
  <definedNames>
    <definedName name="_xlnm._FilterDatabase" localSheetId="0" hidden="1">'на 28.07.2025'!$A$4:$R$80</definedName>
    <definedName name="Print_Titles" localSheetId="0" hidden="0">'на 28.07.2025'!$3:$4</definedName>
    <definedName name="Print_Area" localSheetId="0" hidden="0">'на 28.07.2025'!$A$1:$R$80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28.07.2025'!$A$4:$R$80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<sst xmlns="http://schemas.openxmlformats.org/spreadsheetml/2006/main" count="157" uniqueCount="157">
  <si>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</si>
  <si>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</si>
  <si>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</si>
  <si>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</si>
  <si>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</si>
  <si>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</si>
  <si>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25.07.2024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</si>
  <si>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</si>
  <si>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</si>
  <si>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</si>
  <si>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</si>
  <si>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</si>
  <si>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</si>
  <si>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</si>
  <si>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</si>
  <si>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июль</t>
  </si>
  <si>
    <t>июль</t>
  </si>
  <si>
    <t xml:space="preserve">с нач. года на 28.07.2025 (по 25.07.2025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</si>
  <si>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</si>
  <si>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</si>
  <si>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</si>
  <si>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июль от плана июля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</si>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</sst>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7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3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75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8" fillId="3" borderId="1" numFmtId="0" xfId="0" applyFont="1" applyFill="1" applyBorder="1" applyAlignment="1">
      <alignment horizontal="center" vertical="center" wrapText="1"/>
    </xf>
    <xf fontId="9" fillId="3" borderId="0" numFmtId="162" xfId="0" applyNumberFormat="1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1" fillId="3" borderId="0" numFmtId="0" xfId="0" applyFont="1" applyFill="1" applyAlignment="1">
      <alignment horizontal="right" vertical="center" wrapText="1"/>
    </xf>
    <xf fontId="11" fillId="3" borderId="0" numFmtId="0" xfId="0" applyFont="1" applyFill="1" applyAlignment="1">
      <alignment horizontal="right" vertical="center"/>
    </xf>
    <xf fontId="12" fillId="3" borderId="0" numFmtId="0" xfId="0" applyFont="1" applyFill="1" applyAlignment="1">
      <alignment vertical="center"/>
    </xf>
    <xf fontId="13" fillId="3" borderId="2" numFmtId="49" xfId="0" applyNumberFormat="1" applyFont="1" applyFill="1" applyBorder="1" applyAlignment="1">
      <alignment horizontal="center" vertical="center" wrapText="1"/>
    </xf>
    <xf fontId="14" fillId="3" borderId="3" numFmtId="0" xfId="0" applyFont="1" applyFill="1" applyBorder="1" applyAlignment="1">
      <alignment horizontal="center" vertical="center" wrapText="1"/>
    </xf>
    <xf fontId="13" fillId="3" borderId="4" numFmtId="49" xfId="0" applyNumberFormat="1" applyFont="1" applyFill="1" applyBorder="1" applyAlignment="1">
      <alignment horizontal="center" vertical="center" wrapText="1"/>
    </xf>
    <xf fontId="14" fillId="3" borderId="4" numFmtId="0" xfId="0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4" fillId="3" borderId="5" numFmtId="162" xfId="0" applyNumberFormat="1" applyFont="1" applyFill="1" applyBorder="1" applyAlignment="1">
      <alignment horizontal="center" vertical="center" wrapText="1"/>
    </xf>
    <xf fontId="14" fillId="3" borderId="6" numFmtId="162" xfId="0" applyNumberFormat="1" applyFont="1" applyFill="1" applyBorder="1" applyAlignment="1">
      <alignment horizontal="center" vertical="center" wrapText="1"/>
    </xf>
    <xf fontId="14" fillId="3" borderId="7" numFmtId="162" xfId="0" applyNumberFormat="1" applyFont="1" applyFill="1" applyBorder="1" applyAlignment="1">
      <alignment horizontal="center" vertical="center" wrapText="1"/>
    </xf>
    <xf fontId="14" fillId="3" borderId="5" numFmtId="163" xfId="0" applyNumberFormat="1" applyFont="1" applyFill="1" applyBorder="1" applyAlignment="1">
      <alignment horizontal="center" vertical="center" wrapText="1"/>
    </xf>
    <xf fontId="14" fillId="3" borderId="7" numFmtId="163" xfId="0" applyNumberFormat="1" applyFont="1" applyFill="1" applyBorder="1" applyAlignment="1">
      <alignment horizontal="center" vertical="center" wrapText="1"/>
    </xf>
    <xf fontId="14" fillId="3" borderId="4" numFmtId="0" xfId="0" applyFont="1" applyFill="1" applyBorder="1" applyAlignment="1">
      <alignment horizontal="center" vertical="top" wrapText="1"/>
    </xf>
    <xf fontId="14" fillId="3" borderId="4" numFmtId="164" xfId="105" applyNumberFormat="1" applyFont="1" applyFill="1" applyBorder="1" applyAlignment="1" applyProtection="1">
      <alignment horizontal="center" vertical="top" wrapText="1"/>
    </xf>
    <xf fontId="13" fillId="3" borderId="8" numFmtId="49" xfId="0" applyNumberFormat="1" applyFont="1" applyFill="1" applyBorder="1" applyAlignment="1">
      <alignment horizontal="center" vertical="center" wrapText="1"/>
    </xf>
    <xf fontId="14" fillId="3" borderId="9" numFmtId="0" xfId="0" applyFont="1" applyFill="1" applyBorder="1" applyAlignment="1">
      <alignment horizontal="center" vertical="center" wrapText="1"/>
    </xf>
    <xf fontId="13" fillId="3" borderId="10" numFmtId="49" xfId="0" applyNumberFormat="1" applyFont="1" applyFill="1" applyBorder="1" applyAlignment="1">
      <alignment horizontal="center" vertical="center" wrapText="1"/>
    </xf>
    <xf fontId="14" fillId="3" borderId="10" numFmtId="0" xfId="0" applyFont="1" applyFill="1" applyBorder="1" applyAlignment="1">
      <alignment horizontal="center" vertical="center" wrapText="1"/>
    </xf>
    <xf fontId="15" fillId="3" borderId="10" numFmtId="162" xfId="0" applyNumberFormat="1" applyFont="1" applyFill="1" applyBorder="1" applyAlignment="1">
      <alignment horizontal="center" vertical="center" wrapText="1"/>
    </xf>
    <xf fontId="14" fillId="3" borderId="0" numFmtId="163" xfId="0" applyNumberFormat="1" applyFont="1" applyFill="1" applyAlignment="1">
      <alignment horizontal="center" vertical="center" wrapText="1"/>
    </xf>
    <xf fontId="14" fillId="3" borderId="10" numFmtId="163" xfId="0" applyNumberFormat="1" applyFont="1" applyFill="1" applyBorder="1" applyAlignment="1">
      <alignment horizontal="center" vertical="center" wrapText="1"/>
    </xf>
    <xf fontId="15" fillId="3" borderId="10" numFmtId="163" xfId="0" applyNumberFormat="1" applyFont="1" applyFill="1" applyBorder="1" applyAlignment="1">
      <alignment horizontal="center" vertical="top" wrapText="1"/>
    </xf>
    <xf fontId="14" fillId="3" borderId="0" numFmtId="162" xfId="0" applyNumberFormat="1" applyFont="1" applyFill="1" applyAlignment="1">
      <alignment horizontal="center" vertical="center" wrapText="1"/>
    </xf>
    <xf fontId="14" fillId="3" borderId="10" numFmtId="162" xfId="0" applyNumberFormat="1" applyFont="1" applyFill="1" applyBorder="1" applyAlignment="1">
      <alignment horizontal="center" vertical="top" wrapText="1"/>
    </xf>
    <xf fontId="14" fillId="3" borderId="0" numFmtId="162" xfId="0" applyNumberFormat="1" applyFont="1" applyFill="1" applyAlignment="1">
      <alignment horizontal="center" vertical="top" wrapText="1"/>
    </xf>
    <xf fontId="14" fillId="3" borderId="10" numFmtId="0" xfId="0" applyFont="1" applyFill="1" applyBorder="1" applyAlignment="1">
      <alignment horizontal="center" vertical="top" wrapText="1"/>
    </xf>
    <xf fontId="14" fillId="3" borderId="10" numFmtId="164" xfId="105" applyNumberFormat="1" applyFont="1" applyFill="1" applyBorder="1" applyAlignment="1" applyProtection="1">
      <alignment horizontal="center" vertical="top" wrapText="1"/>
    </xf>
    <xf fontId="16" fillId="3" borderId="0" numFmtId="0" xfId="0" applyFont="1" applyFill="1" applyAlignment="1">
      <alignment vertical="center"/>
    </xf>
    <xf fontId="17" fillId="3" borderId="10" numFmtId="49" xfId="0" applyNumberFormat="1" applyFont="1" applyFill="1" applyBorder="1" applyAlignment="1">
      <alignment horizontal="center" vertical="center" wrapText="1"/>
    </xf>
    <xf fontId="16" fillId="3" borderId="5" numFmtId="0" xfId="0" applyFont="1" applyFill="1" applyBorder="1" applyAlignment="1">
      <alignment horizontal="center" vertical="center" wrapText="1"/>
    </xf>
    <xf fontId="16" fillId="3" borderId="6" numFmtId="0" xfId="0" applyFont="1" applyFill="1" applyBorder="1" applyAlignment="1">
      <alignment horizontal="center" vertical="center" wrapText="1"/>
    </xf>
    <xf fontId="16" fillId="3" borderId="7" numFmtId="0" xfId="0" applyFont="1" applyFill="1" applyBorder="1" applyAlignment="1">
      <alignment horizontal="center" vertical="center" wrapText="1"/>
    </xf>
    <xf fontId="16" fillId="3" borderId="0" numFmtId="162" xfId="0" applyNumberFormat="1" applyFont="1" applyFill="1" applyAlignment="1">
      <alignment vertical="center" wrapText="1"/>
    </xf>
    <xf fontId="16" fillId="3" borderId="10" numFmtId="162" xfId="0" applyNumberFormat="1" applyFont="1" applyFill="1" applyBorder="1" applyAlignment="1">
      <alignment vertical="center" wrapText="1"/>
    </xf>
    <xf fontId="16" fillId="3" borderId="0" numFmtId="164" xfId="0" applyNumberFormat="1" applyFont="1" applyFill="1" applyAlignment="1">
      <alignment horizontal="right" vertical="center" wrapText="1"/>
    </xf>
    <xf fontId="16" fillId="3" borderId="10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0" fillId="3" borderId="10" numFmtId="0" xfId="0" applyFont="1" applyFill="1" applyBorder="1" applyAlignment="1">
      <alignment horizontal="center" vertical="center" wrapText="1"/>
    </xf>
    <xf fontId="8" fillId="3" borderId="0" numFmtId="49" xfId="0" applyNumberFormat="1" applyFont="1" applyFill="1" applyAlignment="1">
      <alignment horizontal="center" vertical="center" wrapText="1"/>
    </xf>
    <xf fontId="9" fillId="3" borderId="10" numFmtId="0" xfId="0" applyFont="1" applyFill="1" applyBorder="1" applyAlignment="1">
      <alignment vertical="center" wrapText="1"/>
    </xf>
    <xf fontId="9" fillId="3" borderId="10" numFmtId="162" xfId="0" applyNumberFormat="1" applyFont="1" applyFill="1" applyBorder="1" applyAlignment="1">
      <alignment horizontal="right" vertical="center" wrapText="1"/>
    </xf>
    <xf fontId="9" fillId="3" borderId="0" numFmtId="162" xfId="0" applyNumberFormat="1" applyFont="1" applyFill="1" applyAlignment="1">
      <alignment horizontal="right" vertical="center" wrapText="1"/>
    </xf>
    <xf fontId="9" fillId="3" borderId="0" numFmtId="4" xfId="0" applyNumberFormat="1" applyFont="1" applyFill="1" applyAlignment="1">
      <alignment horizontal="right" vertical="center" wrapText="1"/>
    </xf>
    <xf fontId="9" fillId="3" borderId="10" numFmtId="164" xfId="0" applyNumberFormat="1" applyFont="1" applyFill="1" applyBorder="1" applyAlignment="1">
      <alignment horizontal="right" vertical="center" wrapText="1"/>
    </xf>
    <xf fontId="9" fillId="3" borderId="0" numFmtId="164" xfId="0" applyNumberFormat="1" applyFont="1" applyFill="1" applyAlignment="1">
      <alignment horizontal="right" vertical="center" wrapText="1"/>
    </xf>
    <xf fontId="6" fillId="3" borderId="10" numFmtId="49" xfId="0" applyNumberFormat="1" applyFont="1" applyFill="1" applyBorder="1" applyAlignment="1">
      <alignment horizontal="center" vertical="center" wrapText="1"/>
    </xf>
    <xf fontId="8" fillId="3" borderId="10" numFmtId="49" xfId="0" applyNumberFormat="1" applyFont="1" applyFill="1" applyBorder="1" applyAlignment="1">
      <alignment horizontal="center" vertical="center" wrapText="1"/>
    </xf>
    <xf fontId="9" fillId="3" borderId="0" numFmtId="0" xfId="0" applyFont="1" applyFill="1" applyAlignment="1">
      <alignment vertical="center" wrapText="1"/>
    </xf>
    <xf fontId="9" fillId="3" borderId="10" numFmtId="162" xfId="0" applyNumberFormat="1" applyFont="1" applyFill="1" applyBorder="1" applyAlignment="1">
      <alignment vertical="center" wrapText="1"/>
    </xf>
    <xf fontId="9" fillId="3" borderId="0" numFmtId="162" xfId="0" applyNumberFormat="1" applyFont="1" applyFill="1" applyAlignment="1">
      <alignment vertical="center" wrapText="1"/>
    </xf>
    <xf fontId="9" fillId="3" borderId="0" numFmtId="4" xfId="0" applyNumberFormat="1" applyFont="1" applyFill="1" applyAlignment="1">
      <alignment vertical="center" wrapText="1"/>
    </xf>
    <xf fontId="9" fillId="3" borderId="10" numFmtId="4" xfId="0" applyNumberFormat="1" applyFont="1" applyFill="1" applyBorder="1" applyAlignment="1">
      <alignment vertical="center" wrapText="1"/>
    </xf>
    <xf fontId="16" fillId="3" borderId="5" numFmtId="165" xfId="0" applyNumberFormat="1" applyFont="1" applyFill="1" applyBorder="1" applyAlignment="1">
      <alignment horizontal="center" vertical="center" wrapText="1"/>
    </xf>
    <xf fontId="16" fillId="3" borderId="11" numFmtId="165" xfId="0" applyNumberFormat="1" applyFont="1" applyFill="1" applyBorder="1" applyAlignment="1">
      <alignment horizontal="center" vertical="center" wrapText="1"/>
    </xf>
    <xf fontId="16" fillId="3" borderId="12" numFmtId="165" xfId="0" applyNumberFormat="1" applyFont="1" applyFill="1" applyBorder="1" applyAlignment="1">
      <alignment horizontal="center" vertical="center" wrapText="1"/>
    </xf>
    <xf fontId="16" fillId="3" borderId="13" numFmtId="162" xfId="0" applyNumberFormat="1" applyFont="1" applyFill="1" applyBorder="1" applyAlignment="1">
      <alignment horizontal="right" vertical="center" wrapText="1"/>
    </xf>
    <xf fontId="16" fillId="3" borderId="13" numFmtId="164" xfId="0" applyNumberFormat="1" applyFont="1" applyFill="1" applyBorder="1" applyAlignment="1">
      <alignment horizontal="right" vertical="center" wrapText="1"/>
    </xf>
    <xf fontId="6" fillId="3" borderId="14" numFmtId="49" xfId="0" applyNumberFormat="1" applyFont="1" applyFill="1" applyBorder="1" applyAlignment="1">
      <alignment horizontal="center" vertical="center" wrapText="1"/>
    </xf>
    <xf fontId="10" fillId="3" borderId="15" numFmtId="0" xfId="0" applyFont="1" applyFill="1" applyBorder="1" applyAlignment="1">
      <alignment horizontal="center" vertical="center" wrapText="1"/>
    </xf>
    <xf fontId="8" fillId="3" borderId="16" numFmtId="0" xfId="0" applyFont="1" applyFill="1" applyBorder="1" applyAlignment="1">
      <alignment horizontal="center" vertical="center"/>
    </xf>
    <xf fontId="9" fillId="3" borderId="16" numFmtId="165" xfId="0" applyNumberFormat="1" applyFont="1" applyFill="1" applyBorder="1" applyAlignment="1">
      <alignment vertical="center" wrapText="1"/>
    </xf>
    <xf fontId="9" fillId="3" borderId="16" numFmtId="162" xfId="0" applyNumberFormat="1" applyFont="1" applyFill="1" applyBorder="1" applyAlignment="1">
      <alignment horizontal="right" vertical="center" wrapText="1"/>
    </xf>
    <xf fontId="9" fillId="3" borderId="16" numFmtId="164" xfId="0" applyNumberFormat="1" applyFont="1" applyFill="1" applyBorder="1" applyAlignment="1">
      <alignment horizontal="right" vertical="center" wrapText="1"/>
    </xf>
    <xf fontId="9" fillId="3" borderId="17" numFmtId="164" xfId="0" applyNumberFormat="1" applyFont="1" applyFill="1" applyBorder="1" applyAlignment="1">
      <alignment horizontal="right" vertical="center" wrapText="1"/>
    </xf>
    <xf fontId="6" fillId="3" borderId="18" numFmtId="49" xfId="0" applyNumberFormat="1" applyFont="1" applyFill="1" applyBorder="1" applyAlignment="1">
      <alignment horizontal="center" vertical="center" wrapText="1"/>
    </xf>
    <xf fontId="10" fillId="3" borderId="19" numFmtId="0" xfId="0" applyFont="1" applyFill="1" applyBorder="1" applyAlignment="1">
      <alignment horizontal="center" vertical="center" wrapText="1"/>
    </xf>
    <xf fontId="9" fillId="3" borderId="0" numFmtId="165" xfId="0" applyNumberFormat="1" applyFont="1" applyFill="1" applyAlignment="1">
      <alignment vertical="center" wrapText="1"/>
    </xf>
    <xf fontId="9" fillId="3" borderId="10" numFmtId="4" xfId="0" applyNumberFormat="1" applyFont="1" applyFill="1" applyBorder="1" applyAlignment="1">
      <alignment horizontal="right" vertical="center" wrapText="1"/>
    </xf>
    <xf fontId="9" fillId="3" borderId="18" numFmtId="164" xfId="0" applyNumberFormat="1" applyFont="1" applyFill="1" applyBorder="1" applyAlignment="1">
      <alignment horizontal="right" vertical="center" wrapText="1"/>
    </xf>
    <xf fontId="9" fillId="3" borderId="10" numFmtId="165" xfId="0" applyNumberFormat="1" applyFont="1" applyFill="1" applyBorder="1" applyAlignment="1">
      <alignment vertical="center" wrapText="1"/>
    </xf>
    <xf fontId="18" fillId="3" borderId="0" numFmtId="0" xfId="0" applyFont="1" applyFill="1" applyAlignment="1">
      <alignment vertical="center"/>
    </xf>
    <xf fontId="19" fillId="3" borderId="18" numFmtId="49" xfId="0" applyNumberFormat="1" applyFont="1" applyFill="1" applyBorder="1" applyAlignment="1">
      <alignment horizontal="center" vertical="center" wrapText="1"/>
    </xf>
    <xf fontId="20" fillId="3" borderId="20" numFmtId="0" xfId="0" applyFont="1" applyFill="1" applyBorder="1" applyAlignment="1">
      <alignment horizontal="center" vertical="center" wrapText="1"/>
    </xf>
    <xf fontId="19" fillId="3" borderId="13" numFmtId="49" xfId="0" applyNumberFormat="1" applyFont="1" applyFill="1" applyBorder="1" applyAlignment="1">
      <alignment horizontal="center" vertical="center" wrapText="1"/>
    </xf>
    <xf fontId="20" fillId="3" borderId="13" numFmtId="0" xfId="0" applyFont="1" applyFill="1" applyBorder="1" applyAlignment="1">
      <alignment vertical="center" wrapText="1"/>
    </xf>
    <xf fontId="20" fillId="3" borderId="13" numFmtId="162" xfId="0" applyNumberFormat="1" applyFont="1" applyFill="1" applyBorder="1" applyAlignment="1">
      <alignment horizontal="right" vertical="center" wrapText="1"/>
    </xf>
    <xf fontId="20" fillId="3" borderId="13" numFmtId="164" xfId="0" applyNumberFormat="1" applyFont="1" applyFill="1" applyBorder="1" applyAlignment="1">
      <alignment horizontal="right" vertical="center" wrapText="1"/>
    </xf>
    <xf fontId="20" fillId="3" borderId="21" numFmtId="164" xfId="0" applyNumberFormat="1" applyFont="1" applyFill="1" applyBorder="1" applyAlignment="1">
      <alignment horizontal="right" vertical="center" wrapText="1"/>
    </xf>
    <xf fontId="6" fillId="3" borderId="14" numFmtId="1" xfId="0" applyNumberFormat="1" applyFont="1" applyFill="1" applyBorder="1" applyAlignment="1">
      <alignment horizontal="center" vertical="center" wrapText="1"/>
    </xf>
    <xf fontId="8" fillId="3" borderId="0" numFmtId="0" xfId="0" applyFont="1" applyFill="1" applyAlignment="1">
      <alignment horizontal="center" vertical="center" wrapText="1"/>
    </xf>
    <xf fontId="9" fillId="3" borderId="16" numFmtId="0" xfId="0" applyFont="1" applyFill="1" applyBorder="1" applyAlignment="1">
      <alignment horizontal="left" vertical="center" wrapText="1"/>
    </xf>
    <xf fontId="6" fillId="3" borderId="18" numFmtId="0" xfId="0" applyFont="1" applyFill="1" applyBorder="1" applyAlignment="1">
      <alignment horizontal="center" vertical="center" wrapText="1"/>
    </xf>
    <xf fontId="8" fillId="3" borderId="10" numFmtId="0" xfId="0" applyFont="1" applyFill="1" applyBorder="1" applyAlignment="1">
      <alignment horizontal="center" vertical="center" wrapText="1"/>
    </xf>
    <xf fontId="19" fillId="3" borderId="14" numFmtId="0" xfId="0" applyFont="1" applyFill="1" applyBorder="1" applyAlignment="1">
      <alignment horizontal="center" vertical="center" wrapText="1"/>
    </xf>
    <xf fontId="6" fillId="3" borderId="22" numFmtId="49" xfId="0" applyNumberFormat="1" applyFont="1" applyFill="1" applyBorder="1" applyAlignment="1">
      <alignment horizontal="center" vertical="center" wrapText="1"/>
    </xf>
    <xf fontId="8" fillId="3" borderId="16" numFmtId="49" xfId="0" applyNumberFormat="1" applyFont="1" applyFill="1" applyBorder="1" applyAlignment="1">
      <alignment horizontal="center" vertical="center" wrapText="1"/>
    </xf>
    <xf fontId="9" fillId="3" borderId="10" numFmtId="165" xfId="0" applyNumberFormat="1" applyFont="1" applyFill="1" applyBorder="1" applyAlignment="1">
      <alignment horizontal="left" vertical="center" wrapText="1"/>
    </xf>
    <xf fontId="8" fillId="3" borderId="10" numFmtId="0" xfId="0" applyFont="1" applyFill="1" applyBorder="1" applyAlignment="1">
      <alignment horizontal="center" vertical="center"/>
    </xf>
    <xf fontId="9" fillId="3" borderId="0" numFmtId="0" xfId="0" applyFont="1" applyFill="1" applyAlignment="1">
      <alignment horizontal="left" vertical="center" wrapText="1"/>
    </xf>
    <xf fontId="8" fillId="3" borderId="0" numFmtId="0" xfId="0" applyFont="1" applyFill="1" applyAlignment="1">
      <alignment horizontal="center" vertical="center"/>
    </xf>
    <xf fontId="9" fillId="3" borderId="10" numFmtId="0" xfId="0" applyFont="1" applyFill="1" applyBorder="1" applyAlignment="1">
      <alignment horizontal="left" vertical="center" wrapText="1"/>
    </xf>
    <xf fontId="21" fillId="3" borderId="0" numFmtId="0" xfId="0" applyFont="1" applyFill="1" applyAlignment="1">
      <alignment vertical="center"/>
    </xf>
    <xf fontId="19" fillId="3" borderId="0" numFmtId="49" xfId="0" applyNumberFormat="1" applyFont="1" applyFill="1" applyAlignment="1">
      <alignment horizontal="center" vertical="center" wrapText="1"/>
    </xf>
    <xf fontId="22" fillId="3" borderId="19" numFmtId="0" xfId="0" applyFont="1" applyFill="1" applyBorder="1" applyAlignment="1">
      <alignment horizontal="center" vertical="center" wrapText="1"/>
    </xf>
    <xf fontId="23" fillId="3" borderId="0" numFmtId="0" xfId="0" applyFont="1" applyFill="1" applyAlignment="1">
      <alignment horizontal="right" vertical="center"/>
    </xf>
    <xf fontId="24" fillId="3" borderId="10" numFmtId="0" xfId="0" applyFont="1" applyFill="1" applyBorder="1" applyAlignment="1">
      <alignment horizontal="left" vertical="center" wrapText="1"/>
    </xf>
    <xf fontId="24" fillId="3" borderId="0" numFmtId="162" xfId="0" applyNumberFormat="1" applyFont="1" applyFill="1" applyAlignment="1">
      <alignment horizontal="right" vertical="center" wrapText="1"/>
    </xf>
    <xf fontId="24" fillId="3" borderId="10" numFmtId="162" xfId="0" applyNumberFormat="1" applyFont="1" applyFill="1" applyBorder="1" applyAlignment="1">
      <alignment horizontal="right" vertical="center" wrapText="1"/>
    </xf>
    <xf fontId="24" fillId="3" borderId="0" numFmtId="164" xfId="0" applyNumberFormat="1" applyFont="1" applyFill="1" applyAlignment="1">
      <alignment horizontal="right" vertical="center" wrapText="1"/>
    </xf>
    <xf fontId="24" fillId="3" borderId="10" numFmtId="164" xfId="0" applyNumberFormat="1" applyFont="1" applyFill="1" applyBorder="1" applyAlignment="1">
      <alignment horizontal="right" vertical="center" wrapText="1"/>
    </xf>
    <xf fontId="24" fillId="3" borderId="18" numFmtId="164" xfId="0" applyNumberFormat="1" applyFont="1" applyFill="1" applyBorder="1" applyAlignment="1">
      <alignment horizontal="right" vertical="center" wrapText="1"/>
    </xf>
    <xf fontId="23" fillId="3" borderId="10" numFmtId="0" xfId="0" applyFont="1" applyFill="1" applyBorder="1" applyAlignment="1">
      <alignment horizontal="right" vertical="center"/>
    </xf>
    <xf fontId="24" fillId="3" borderId="0" numFmtId="0" xfId="0" applyFont="1" applyFill="1" applyAlignment="1">
      <alignment horizontal="left" vertical="center" wrapText="1"/>
    </xf>
    <xf fontId="19" fillId="3" borderId="22" numFmtId="49" xfId="0" applyNumberFormat="1" applyFont="1" applyFill="1" applyBorder="1" applyAlignment="1">
      <alignment horizontal="center" vertical="center" wrapText="1"/>
    </xf>
    <xf fontId="20" fillId="3" borderId="20" numFmtId="49" xfId="0" applyNumberFormat="1" applyFont="1" applyFill="1" applyBorder="1" applyAlignment="1">
      <alignment horizontal="center" vertical="center" wrapText="1"/>
    </xf>
    <xf fontId="6" fillId="3" borderId="23" numFmtId="49" xfId="0" applyNumberFormat="1" applyFont="1" applyFill="1" applyBorder="1" applyAlignment="1">
      <alignment horizontal="center" vertical="center" wrapText="1"/>
    </xf>
    <xf fontId="10" fillId="3" borderId="15" numFmtId="0" xfId="0" applyFont="1" applyFill="1" applyBorder="1" applyAlignment="1">
      <alignment horizontal="center" vertical="top" wrapText="1"/>
    </xf>
    <xf fontId="10" fillId="3" borderId="19" numFmtId="0" xfId="0" applyFont="1" applyFill="1" applyBorder="1" applyAlignment="1">
      <alignment horizontal="center" vertical="top" wrapText="1"/>
    </xf>
    <xf fontId="20" fillId="3" borderId="0" numFmtId="0" xfId="0" applyFont="1" applyFill="1" applyAlignment="1">
      <alignment vertical="center"/>
    </xf>
    <xf fontId="20" fillId="3" borderId="20" numFmtId="49" xfId="0" applyNumberFormat="1" applyFont="1" applyFill="1" applyBorder="1" applyAlignment="1">
      <alignment horizontal="center" vertical="top" wrapText="1"/>
    </xf>
    <xf fontId="20" fillId="3" borderId="13" numFmtId="49" xfId="0" applyNumberFormat="1" applyFont="1" applyFill="1" applyBorder="1" applyAlignment="1">
      <alignment horizontal="center" vertical="center" wrapText="1"/>
    </xf>
    <xf fontId="20" fillId="3" borderId="13" numFmtId="162" xfId="0" applyNumberFormat="1" applyFont="1" applyFill="1" applyBorder="1" applyAlignment="1">
      <alignment vertical="center" wrapText="1"/>
    </xf>
    <xf fontId="25" fillId="3" borderId="16" numFmtId="162" xfId="0" applyNumberFormat="1" applyFont="1" applyFill="1" applyBorder="1" applyAlignment="1">
      <alignment horizontal="right" vertical="center" wrapText="1"/>
    </xf>
    <xf fontId="25" fillId="3" borderId="0" numFmtId="162" xfId="0" applyNumberFormat="1" applyFont="1" applyFill="1" applyAlignment="1">
      <alignment horizontal="right" vertical="center" wrapText="1"/>
    </xf>
    <xf fontId="25" fillId="3" borderId="10" numFmtId="162" xfId="0" applyNumberFormat="1" applyFont="1" applyFill="1" applyBorder="1" applyAlignment="1">
      <alignment horizontal="right" vertical="center" wrapText="1"/>
    </xf>
    <xf fontId="19" fillId="3" borderId="18" numFmtId="0" xfId="0" applyFont="1" applyFill="1" applyBorder="1" applyAlignment="1">
      <alignment horizontal="center" vertical="center" wrapText="1"/>
    </xf>
    <xf fontId="20" fillId="3" borderId="16" numFmtId="164" xfId="0" applyNumberFormat="1" applyFont="1" applyFill="1" applyBorder="1" applyAlignment="1">
      <alignment horizontal="right" vertical="center" wrapText="1"/>
    </xf>
    <xf fontId="20" fillId="3" borderId="0" numFmtId="164" xfId="0" applyNumberFormat="1" applyFont="1" applyFill="1" applyAlignment="1">
      <alignment horizontal="right" vertical="center" wrapText="1"/>
    </xf>
    <xf fontId="20" fillId="3" borderId="10" numFmtId="164" xfId="0" applyNumberFormat="1" applyFont="1" applyFill="1" applyBorder="1" applyAlignment="1">
      <alignment horizontal="right" vertical="center" wrapText="1"/>
    </xf>
    <xf fontId="6" fillId="3" borderId="14" numFmtId="0" xfId="0" applyFont="1" applyFill="1" applyBorder="1" applyAlignment="1">
      <alignment horizontal="center" vertical="center" wrapText="1"/>
    </xf>
    <xf fontId="9" fillId="3" borderId="24" numFmtId="165" xfId="0" applyNumberFormat="1" applyFont="1" applyFill="1" applyBorder="1" applyAlignment="1">
      <alignment horizontal="left" vertical="center" wrapText="1"/>
    </xf>
    <xf fontId="11" fillId="3" borderId="18" numFmtId="164" xfId="0" applyNumberFormat="1" applyFont="1" applyFill="1" applyBorder="1" applyAlignment="1">
      <alignment horizontal="right" vertical="center" wrapText="1"/>
    </xf>
    <xf fontId="20" fillId="3" borderId="20" numFmtId="0" xfId="0" applyFont="1" applyFill="1" applyBorder="1" applyAlignment="1">
      <alignment horizontal="center" vertical="top" wrapText="1"/>
    </xf>
    <xf fontId="16" fillId="3" borderId="18" numFmtId="0" xfId="0" applyFont="1" applyFill="1" applyBorder="1" applyAlignment="1">
      <alignment vertical="center"/>
    </xf>
    <xf fontId="16" fillId="3" borderId="25" numFmtId="166" xfId="0" applyNumberFormat="1" applyFont="1" applyFill="1" applyBorder="1" applyAlignment="1">
      <alignment horizontal="center" vertical="center" wrapText="1"/>
    </xf>
    <xf fontId="16" fillId="3" borderId="26" numFmtId="166" xfId="0" applyNumberFormat="1" applyFont="1" applyFill="1" applyBorder="1" applyAlignment="1">
      <alignment horizontal="center" vertical="center" wrapText="1"/>
    </xf>
    <xf fontId="16" fillId="3" borderId="27" numFmtId="166" xfId="0" applyNumberFormat="1" applyFont="1" applyFill="1" applyBorder="1" applyAlignment="1">
      <alignment horizontal="center" vertical="center" wrapText="1"/>
    </xf>
    <xf fontId="16" fillId="3" borderId="28" numFmtId="162" xfId="0" applyNumberFormat="1" applyFont="1" applyFill="1" applyBorder="1" applyAlignment="1">
      <alignment horizontal="right" vertical="center" wrapText="1"/>
    </xf>
    <xf fontId="16" fillId="3" borderId="28" numFmtId="164" xfId="0" applyNumberFormat="1" applyFont="1" applyFill="1" applyBorder="1" applyAlignment="1">
      <alignment horizontal="right" vertical="center" wrapText="1"/>
    </xf>
    <xf fontId="16" fillId="3" borderId="29" numFmtId="164" xfId="0" applyNumberFormat="1" applyFont="1" applyFill="1" applyBorder="1" applyAlignment="1">
      <alignment horizontal="right" vertical="center" wrapText="1"/>
    </xf>
    <xf fontId="17" fillId="3" borderId="18" numFmtId="49" xfId="0" applyNumberFormat="1" applyFont="1" applyFill="1" applyBorder="1" applyAlignment="1">
      <alignment vertical="center" wrapText="1"/>
    </xf>
    <xf fontId="16" fillId="3" borderId="30" numFmtId="165" xfId="0" applyNumberFormat="1" applyFont="1" applyFill="1" applyBorder="1" applyAlignment="1">
      <alignment horizontal="center" vertical="center" wrapText="1"/>
    </xf>
    <xf fontId="16" fillId="3" borderId="31" numFmtId="165" xfId="0" applyNumberFormat="1" applyFont="1" applyFill="1" applyBorder="1" applyAlignment="1">
      <alignment horizontal="center" vertical="center" wrapText="1"/>
    </xf>
    <xf fontId="16" fillId="3" borderId="32" numFmtId="165" xfId="0" applyNumberFormat="1" applyFont="1" applyFill="1" applyBorder="1" applyAlignment="1">
      <alignment horizontal="center" vertical="center" wrapText="1"/>
    </xf>
    <xf fontId="16" fillId="3" borderId="0" numFmtId="162" xfId="0" applyNumberFormat="1" applyFont="1" applyFill="1" applyAlignment="1">
      <alignment horizontal="right" vertical="center" wrapText="1"/>
    </xf>
    <xf fontId="16" fillId="3" borderId="16" numFmtId="162" xfId="0" applyNumberFormat="1" applyFont="1" applyFill="1" applyBorder="1" applyAlignment="1">
      <alignment horizontal="right" vertical="center" wrapText="1"/>
    </xf>
    <xf fontId="16" fillId="3" borderId="16" numFmtId="164" xfId="0" applyNumberFormat="1" applyFont="1" applyFill="1" applyBorder="1" applyAlignment="1">
      <alignment horizontal="right" vertical="center" wrapText="1"/>
    </xf>
    <xf fontId="16" fillId="3" borderId="17" numFmtId="164" xfId="0" applyNumberFormat="1" applyFont="1" applyFill="1" applyBorder="1" applyAlignment="1">
      <alignment horizontal="right" vertical="center" wrapText="1"/>
    </xf>
    <xf fontId="15" fillId="3" borderId="4" numFmtId="0" xfId="0" applyFont="1" applyFill="1" applyBorder="1" applyAlignment="1">
      <alignment horizontal="center" vertical="top" wrapText="1"/>
    </xf>
    <xf fontId="26" fillId="3" borderId="0" numFmtId="162" xfId="0" applyNumberFormat="1" applyFont="1" applyFill="1" applyAlignment="1">
      <alignment vertical="center" wrapText="1"/>
    </xf>
    <xf fontId="15" fillId="3" borderId="10" numFmtId="0" xfId="0" applyFont="1" applyFill="1" applyBorder="1" applyAlignment="1">
      <alignment horizontal="center" vertical="top" wrapText="1"/>
    </xf>
    <xf fontId="26" fillId="3" borderId="10" numFmtId="162" xfId="0" applyNumberFormat="1" applyFont="1" applyFill="1" applyBorder="1" applyAlignment="1">
      <alignment vertical="center" wrapText="1"/>
    </xf>
    <xf fontId="26" fillId="3" borderId="10" numFmtId="0" xfId="0" applyFont="1" applyFill="1" applyBorder="1" applyAlignment="1">
      <alignment horizontal="left" vertical="center" wrapText="1"/>
    </xf>
    <xf fontId="26" fillId="3" borderId="0" numFmtId="0" xfId="0" applyFont="1" applyFill="1" applyAlignment="1">
      <alignment horizontal="left" vertical="center" wrapText="1"/>
    </xf>
    <xf fontId="11" fillId="3" borderId="10" numFmtId="164" xfId="0" applyNumberFormat="1" applyFont="1" applyFill="1" applyBorder="1" applyAlignment="1">
      <alignment horizontal="right" vertical="center" wrapText="1"/>
    </xf>
    <xf fontId="26" fillId="3" borderId="0" numFmtId="0" xfId="0" applyFont="1" applyFill="1" applyAlignment="1">
      <alignment horizontal="left" vertical="top" wrapText="1"/>
    </xf>
    <xf fontId="10" fillId="3" borderId="10" numFmtId="164" xfId="0" applyNumberFormat="1" applyFont="1" applyFill="1" applyBorder="1" applyAlignment="1">
      <alignment vertical="center" wrapText="1"/>
    </xf>
    <xf fontId="26" fillId="3" borderId="10" numFmtId="165" xfId="0" applyNumberFormat="1" applyFont="1" applyFill="1" applyBorder="1" applyAlignment="1">
      <alignment vertical="center" wrapText="1"/>
    </xf>
    <xf fontId="9" fillId="3" borderId="33" numFmtId="162" xfId="0" applyNumberFormat="1" applyFont="1" applyFill="1" applyBorder="1" applyAlignment="1">
      <alignment horizontal="right" vertical="center" wrapText="1"/>
    </xf>
    <xf fontId="26" fillId="3" borderId="0" numFmtId="165" xfId="0" applyNumberFormat="1" applyFont="1" applyFill="1" applyAlignment="1">
      <alignment vertical="center" wrapText="1"/>
    </xf>
    <xf fontId="17" fillId="3" borderId="10" numFmtId="0" xfId="0" applyFont="1" applyFill="1" applyBorder="1" applyAlignment="1">
      <alignment vertical="center"/>
    </xf>
    <xf fontId="6" fillId="3" borderId="0" numFmtId="166" xfId="0" applyNumberFormat="1" applyFont="1" applyFill="1" applyAlignment="1">
      <alignment horizontal="left" vertical="center"/>
    </xf>
    <xf fontId="11" fillId="3" borderId="0" numFmtId="167" xfId="0" applyNumberFormat="1" applyFont="1" applyFill="1" applyAlignment="1">
      <alignment horizontal="left" vertical="top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39" style="1" width="9.140625"/>
    <col min="40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5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  <c r="AA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  <c r="Z3" s="18"/>
      <c r="AA3" s="18"/>
    </row>
    <row r="4" s="18" customFormat="1" ht="66.7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9" t="s">
        <v>16</v>
      </c>
      <c r="K4" s="40" t="s">
        <v>18</v>
      </c>
      <c r="L4" s="41" t="s">
        <v>19</v>
      </c>
      <c r="M4" s="40" t="s">
        <v>20</v>
      </c>
      <c r="N4" s="41" t="s">
        <v>21</v>
      </c>
      <c r="O4" s="42"/>
      <c r="P4" s="43"/>
      <c r="Q4" s="43"/>
      <c r="R4" s="42"/>
      <c r="S4" s="18"/>
      <c r="T4" s="18"/>
      <c r="U4" s="18"/>
      <c r="V4" s="18"/>
      <c r="W4" s="18"/>
      <c r="X4" s="18"/>
      <c r="Y4" s="18"/>
      <c r="Z4" s="18"/>
      <c r="AA4" s="18"/>
    </row>
    <row r="5" s="44" customFormat="1" ht="26.25" customHeight="1">
      <c r="A5" s="45"/>
      <c r="B5" s="46" t="s">
        <v>22</v>
      </c>
      <c r="C5" s="47"/>
      <c r="D5" s="48"/>
      <c r="E5" s="49">
        <f>SUM(E6:E16)</f>
        <v>10370783.432089552</v>
      </c>
      <c r="F5" s="50">
        <f>SUM(F6:F16)</f>
        <v>28065221.000000007</v>
      </c>
      <c r="G5" s="49">
        <f>SUM(G6:G16)</f>
        <v>13999575.4</v>
      </c>
      <c r="H5" s="50">
        <f>SUM(H6:H16)</f>
        <v>3855845.3999999999</v>
      </c>
      <c r="I5" s="49">
        <f>SUM(I6:I16)</f>
        <v>11643185.280000001</v>
      </c>
      <c r="J5" s="50">
        <f>SUM(J6:J16)</f>
        <v>1454340.98</v>
      </c>
      <c r="K5" s="49">
        <f>SUM(K6:K16)</f>
        <v>1272401.8479104491</v>
      </c>
      <c r="L5" s="50">
        <f>SUM(L6:L16)</f>
        <v>-2356390.1199999987</v>
      </c>
      <c r="M5" s="49">
        <f>SUM(M6:M16)</f>
        <v>-16422035.720000003</v>
      </c>
      <c r="N5" s="50">
        <f>SUM(N6:N16)</f>
        <v>-2401504.4199999995</v>
      </c>
      <c r="O5" s="51">
        <f t="shared" ref="O5:O9" si="0">IFERROR(I5/E5,"")</f>
        <v>1.1226910055775872</v>
      </c>
      <c r="P5" s="52">
        <f t="shared" ref="P5:P9" si="1">IFERROR(J5/H5,"")</f>
        <v>0.3771782395632356</v>
      </c>
      <c r="Q5" s="51">
        <f t="shared" ref="Q5:Q9" si="2">IFERROR(I5/G5,"")</f>
        <v>0.83168131513474342</v>
      </c>
      <c r="R5" s="52">
        <f t="shared" ref="R5:R9" si="3">IFERROR(I5/F5,"")</f>
        <v>0.4148616994678217</v>
      </c>
      <c r="S5" s="44"/>
      <c r="T5" s="44"/>
      <c r="U5" s="44"/>
      <c r="V5" s="44"/>
      <c r="W5" s="44"/>
      <c r="X5" s="44"/>
      <c r="Y5" s="44"/>
      <c r="Z5" s="44"/>
      <c r="AA5" s="44"/>
    </row>
    <row r="6" ht="17.25">
      <c r="A6" s="53"/>
      <c r="B6" s="54" t="s">
        <v>23</v>
      </c>
      <c r="C6" s="55" t="s">
        <v>24</v>
      </c>
      <c r="D6" s="56" t="s">
        <v>25</v>
      </c>
      <c r="E6" s="57">
        <f>9189475.43/33.5*30</f>
        <v>8229380.9820895512</v>
      </c>
      <c r="F6" s="58">
        <v>21478832.200000003</v>
      </c>
      <c r="G6" s="57">
        <f>10742601.7-100000</f>
        <v>10642601.699999999</v>
      </c>
      <c r="H6" s="58">
        <f>3103492.3-100000</f>
        <v>3003492.2999999998</v>
      </c>
      <c r="I6" s="57">
        <v>9004551.4900000002</v>
      </c>
      <c r="J6" s="58">
        <v>1365442.05</v>
      </c>
      <c r="K6" s="57">
        <f t="shared" ref="K6:K9" si="4">I6-E6</f>
        <v>775170.50791044906</v>
      </c>
      <c r="L6" s="58">
        <f t="shared" ref="L6:L9" si="5">I6-G6</f>
        <v>-1638050.209999999</v>
      </c>
      <c r="M6" s="57">
        <f t="shared" ref="M6:M9" si="6">I6-F6</f>
        <v>-12474280.710000003</v>
      </c>
      <c r="N6" s="59">
        <f t="shared" ref="N6:N9" si="7">J6-H6</f>
        <v>-1638050.2499999998</v>
      </c>
      <c r="O6" s="60">
        <f t="shared" si="0"/>
        <v>1.094195481968514</v>
      </c>
      <c r="P6" s="61">
        <f t="shared" si="1"/>
        <v>0.45461812903598925</v>
      </c>
      <c r="Q6" s="60">
        <f t="shared" si="2"/>
        <v>0.84608554785997492</v>
      </c>
      <c r="R6" s="60">
        <f t="shared" si="3"/>
        <v>0.4192290998949188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62"/>
      <c r="B7" s="54" t="s">
        <v>26</v>
      </c>
      <c r="C7" s="63" t="s">
        <v>27</v>
      </c>
      <c r="D7" s="64" t="s">
        <v>28</v>
      </c>
      <c r="E7" s="65">
        <v>40433.080000000002</v>
      </c>
      <c r="F7" s="65">
        <v>82008.100000000006</v>
      </c>
      <c r="G7" s="66">
        <v>46638.5</v>
      </c>
      <c r="H7" s="65">
        <v>7227</v>
      </c>
      <c r="I7" s="66">
        <v>41236.75</v>
      </c>
      <c r="J7" s="65">
        <v>6834.9399999999996</v>
      </c>
      <c r="K7" s="66">
        <f t="shared" si="4"/>
        <v>803.66999999999825</v>
      </c>
      <c r="L7" s="65">
        <f t="shared" si="5"/>
        <v>-5401.75</v>
      </c>
      <c r="M7" s="66">
        <f t="shared" si="6"/>
        <v>-40771.350000000006</v>
      </c>
      <c r="N7" s="65">
        <f t="shared" si="7"/>
        <v>-392.0600000000004</v>
      </c>
      <c r="O7" s="61">
        <f t="shared" si="0"/>
        <v>1.0198765466296409</v>
      </c>
      <c r="P7" s="60">
        <f t="shared" si="1"/>
        <v>0.94575065725750651</v>
      </c>
      <c r="Q7" s="61">
        <f t="shared" si="2"/>
        <v>0.88417830762138572</v>
      </c>
      <c r="R7" s="60">
        <f t="shared" si="3"/>
        <v>0.50283752458598596</v>
      </c>
      <c r="S7" s="1"/>
      <c r="T7" s="1"/>
      <c r="U7" s="1"/>
      <c r="V7" s="1"/>
      <c r="W7" s="1"/>
      <c r="X7" s="1"/>
      <c r="Y7" s="1"/>
      <c r="Z7" s="1"/>
      <c r="AA7" s="1"/>
    </row>
    <row r="8" ht="17.25">
      <c r="A8" s="62"/>
      <c r="B8" s="54" t="s">
        <v>23</v>
      </c>
      <c r="C8" s="55" t="s">
        <v>29</v>
      </c>
      <c r="D8" s="56" t="s">
        <v>30</v>
      </c>
      <c r="E8" s="66">
        <v>0</v>
      </c>
      <c r="F8" s="65">
        <v>52994.300000000003</v>
      </c>
      <c r="G8" s="65">
        <v>32497.099999999999</v>
      </c>
      <c r="H8" s="66">
        <v>20497.099999999999</v>
      </c>
      <c r="I8" s="65">
        <v>8694.1599999999999</v>
      </c>
      <c r="J8" s="66">
        <v>192.18000000000001</v>
      </c>
      <c r="K8" s="65">
        <f t="shared" si="4"/>
        <v>8694.1599999999999</v>
      </c>
      <c r="L8" s="66">
        <f t="shared" si="5"/>
        <v>-23802.939999999999</v>
      </c>
      <c r="M8" s="65">
        <f t="shared" si="6"/>
        <v>-44300.139999999999</v>
      </c>
      <c r="N8" s="66">
        <f t="shared" si="7"/>
        <v>-20304.919999999998</v>
      </c>
      <c r="O8" s="60" t="str">
        <f t="shared" si="0"/>
        <v/>
      </c>
      <c r="P8" s="61">
        <f t="shared" si="1"/>
        <v>0.0093759605017295147</v>
      </c>
      <c r="Q8" s="60">
        <f t="shared" si="2"/>
        <v>0.26753648787122541</v>
      </c>
      <c r="R8" s="60">
        <f t="shared" si="3"/>
        <v>0.16405839873344868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62"/>
      <c r="B9" s="54" t="s">
        <v>23</v>
      </c>
      <c r="C9" s="63" t="s">
        <v>31</v>
      </c>
      <c r="D9" s="64" t="s">
        <v>32</v>
      </c>
      <c r="E9" s="65">
        <v>647803.67000000004</v>
      </c>
      <c r="F9" s="66">
        <v>1259409.1000000001</v>
      </c>
      <c r="G9" s="65">
        <v>911774.39999999991</v>
      </c>
      <c r="H9" s="65">
        <v>227925</v>
      </c>
      <c r="I9" s="66">
        <v>685156.91999999993</v>
      </c>
      <c r="J9" s="65">
        <v>13840.34</v>
      </c>
      <c r="K9" s="66">
        <f t="shared" si="4"/>
        <v>37353.249999999884</v>
      </c>
      <c r="L9" s="65">
        <f t="shared" si="5"/>
        <v>-226617.47999999998</v>
      </c>
      <c r="M9" s="66">
        <f t="shared" si="6"/>
        <v>-574252.18000000017</v>
      </c>
      <c r="N9" s="65">
        <f t="shared" si="7"/>
        <v>-214084.66</v>
      </c>
      <c r="O9" s="61">
        <f t="shared" si="0"/>
        <v>1.0576613744716818</v>
      </c>
      <c r="P9" s="60">
        <f t="shared" si="1"/>
        <v>0.060723220357573764</v>
      </c>
      <c r="Q9" s="61">
        <f t="shared" si="2"/>
        <v>0.75145443872958051</v>
      </c>
      <c r="R9" s="60">
        <f t="shared" si="3"/>
        <v>0.54403046635124352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62"/>
      <c r="B10" s="54" t="s">
        <v>23</v>
      </c>
      <c r="C10" s="55" t="s">
        <v>33</v>
      </c>
      <c r="D10" s="56" t="s">
        <v>34</v>
      </c>
      <c r="E10" s="66">
        <v>553.5</v>
      </c>
      <c r="F10" s="65">
        <v>0</v>
      </c>
      <c r="G10" s="66">
        <v>0</v>
      </c>
      <c r="H10" s="65">
        <v>0</v>
      </c>
      <c r="I10" s="65">
        <v>213.06</v>
      </c>
      <c r="J10" s="66">
        <v>34.760000000000005</v>
      </c>
      <c r="K10" s="65">
        <f t="shared" ref="K10:K45" si="8">I10-E10</f>
        <v>-340.44</v>
      </c>
      <c r="L10" s="66">
        <f t="shared" ref="L10:L73" si="9">I10-G10</f>
        <v>213.06</v>
      </c>
      <c r="M10" s="65">
        <f t="shared" ref="M10:M45" si="10">I10-F10</f>
        <v>213.06</v>
      </c>
      <c r="N10" s="66">
        <f t="shared" ref="N10:N45" si="11">J10-H10</f>
        <v>34.760000000000005</v>
      </c>
      <c r="O10" s="60">
        <f t="shared" ref="O10:O73" si="12">IFERROR(I10/E10,"")</f>
        <v>0.3849322493224932</v>
      </c>
      <c r="P10" s="61" t="str">
        <f t="shared" ref="P10:P73" si="13">IFERROR(J10/H10,"")</f>
        <v/>
      </c>
      <c r="Q10" s="60" t="str">
        <f t="shared" ref="Q10:Q73" si="14">IFERROR(I10/G10,"")</f>
        <v/>
      </c>
      <c r="R10" s="60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62"/>
      <c r="B11" s="54" t="s">
        <v>23</v>
      </c>
      <c r="C11" s="63" t="s">
        <v>35</v>
      </c>
      <c r="D11" s="64" t="s">
        <v>36</v>
      </c>
      <c r="E11" s="65">
        <v>1189.6800000000001</v>
      </c>
      <c r="F11" s="66">
        <v>1208.9000000000001</v>
      </c>
      <c r="G11" s="65">
        <v>1142.9000000000001</v>
      </c>
      <c r="H11" s="66">
        <v>243</v>
      </c>
      <c r="I11" s="65">
        <v>1095.99</v>
      </c>
      <c r="J11" s="65">
        <v>-6.5199999999999996</v>
      </c>
      <c r="K11" s="66">
        <f t="shared" si="8"/>
        <v>-93.690000000000055</v>
      </c>
      <c r="L11" s="65">
        <f t="shared" si="9"/>
        <v>-46.910000000000082</v>
      </c>
      <c r="M11" s="66">
        <f t="shared" si="10"/>
        <v>-112.91000000000008</v>
      </c>
      <c r="N11" s="65">
        <f t="shared" si="11"/>
        <v>-249.52000000000001</v>
      </c>
      <c r="O11" s="61">
        <f t="shared" si="12"/>
        <v>0.92124773048214637</v>
      </c>
      <c r="P11" s="60">
        <f t="shared" si="13"/>
        <v>-0.026831275720164607</v>
      </c>
      <c r="Q11" s="61">
        <f t="shared" si="14"/>
        <v>0.95895528917665585</v>
      </c>
      <c r="R11" s="60">
        <f t="shared" si="15"/>
        <v>0.90660104226983207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62"/>
      <c r="B12" s="54" t="s">
        <v>23</v>
      </c>
      <c r="C12" s="55" t="s">
        <v>37</v>
      </c>
      <c r="D12" s="56" t="s">
        <v>38</v>
      </c>
      <c r="E12" s="66">
        <v>310175.48999999999</v>
      </c>
      <c r="F12" s="65">
        <v>615839.40000000002</v>
      </c>
      <c r="G12" s="66">
        <v>329592.29999999999</v>
      </c>
      <c r="H12" s="65">
        <v>16000</v>
      </c>
      <c r="I12" s="65">
        <v>333364.02000000002</v>
      </c>
      <c r="J12" s="66">
        <v>7250.3999999999996</v>
      </c>
      <c r="K12" s="65">
        <f t="shared" si="8"/>
        <v>23188.530000000028</v>
      </c>
      <c r="L12" s="66">
        <f t="shared" si="9"/>
        <v>3771.7200000000303</v>
      </c>
      <c r="M12" s="65">
        <f t="shared" si="10"/>
        <v>-282475.38</v>
      </c>
      <c r="N12" s="66">
        <f t="shared" si="11"/>
        <v>-8749.6000000000004</v>
      </c>
      <c r="O12" s="60">
        <f t="shared" si="12"/>
        <v>1.0747593886286761</v>
      </c>
      <c r="P12" s="61">
        <f t="shared" si="13"/>
        <v>0.45315</v>
      </c>
      <c r="Q12" s="60">
        <f t="shared" si="14"/>
        <v>1.0114435925839287</v>
      </c>
      <c r="R12" s="60">
        <f t="shared" si="15"/>
        <v>0.54131648608387184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62"/>
      <c r="B13" s="54" t="s">
        <v>39</v>
      </c>
      <c r="C13" s="63" t="s">
        <v>40</v>
      </c>
      <c r="D13" s="64" t="s">
        <v>41</v>
      </c>
      <c r="E13" s="65">
        <v>67191.630000000005</v>
      </c>
      <c r="F13" s="66">
        <v>1486170.1000000001</v>
      </c>
      <c r="G13" s="65">
        <v>71400</v>
      </c>
      <c r="H13" s="66">
        <v>5000</v>
      </c>
      <c r="I13" s="65">
        <v>81975.580000000002</v>
      </c>
      <c r="J13" s="65">
        <v>4344.0999999999995</v>
      </c>
      <c r="K13" s="66">
        <f t="shared" si="8"/>
        <v>14783.949999999997</v>
      </c>
      <c r="L13" s="65">
        <f t="shared" si="9"/>
        <v>10575.580000000002</v>
      </c>
      <c r="M13" s="66">
        <f t="shared" si="10"/>
        <v>-1404194.52</v>
      </c>
      <c r="N13" s="65">
        <f t="shared" si="11"/>
        <v>-655.90000000000055</v>
      </c>
      <c r="O13" s="61">
        <f t="shared" si="12"/>
        <v>1.2200266610588253</v>
      </c>
      <c r="P13" s="60">
        <f t="shared" si="13"/>
        <v>0.86881999999999993</v>
      </c>
      <c r="Q13" s="61">
        <f t="shared" si="14"/>
        <v>1.1481173669467788</v>
      </c>
      <c r="R13" s="60">
        <f t="shared" si="15"/>
        <v>0.055158948494522936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62"/>
      <c r="B14" s="54" t="s">
        <v>39</v>
      </c>
      <c r="C14" s="55" t="s">
        <v>42</v>
      </c>
      <c r="D14" s="56" t="s">
        <v>43</v>
      </c>
      <c r="E14" s="66">
        <v>945914.83999999997</v>
      </c>
      <c r="F14" s="65">
        <v>2439929.7999999998</v>
      </c>
      <c r="G14" s="66">
        <v>1596886</v>
      </c>
      <c r="H14" s="65">
        <v>522162</v>
      </c>
      <c r="I14" s="65">
        <v>1121366.98</v>
      </c>
      <c r="J14" s="66">
        <v>7096.9400000000005</v>
      </c>
      <c r="K14" s="65">
        <f t="shared" si="8"/>
        <v>175452.14000000001</v>
      </c>
      <c r="L14" s="66">
        <f t="shared" si="9"/>
        <v>-475519.02000000002</v>
      </c>
      <c r="M14" s="65">
        <f t="shared" si="10"/>
        <v>-1318562.8199999998</v>
      </c>
      <c r="N14" s="67">
        <f t="shared" si="11"/>
        <v>-515065.06</v>
      </c>
      <c r="O14" s="60">
        <f t="shared" si="12"/>
        <v>1.1854840759237903</v>
      </c>
      <c r="P14" s="61">
        <f t="shared" si="13"/>
        <v>0.013591452461113603</v>
      </c>
      <c r="Q14" s="60">
        <f t="shared" si="14"/>
        <v>0.70222106023848918</v>
      </c>
      <c r="R14" s="60">
        <f t="shared" si="15"/>
        <v>0.45958985377366185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62"/>
      <c r="B15" s="54"/>
      <c r="C15" s="63" t="s">
        <v>44</v>
      </c>
      <c r="D15" s="64" t="s">
        <v>45</v>
      </c>
      <c r="E15" s="65">
        <v>128140.56</v>
      </c>
      <c r="F15" s="66">
        <v>648829.10000000009</v>
      </c>
      <c r="G15" s="65">
        <v>367042.5</v>
      </c>
      <c r="H15" s="66">
        <v>53299</v>
      </c>
      <c r="I15" s="65">
        <v>365530.33000000002</v>
      </c>
      <c r="J15" s="65">
        <v>49311.789999999994</v>
      </c>
      <c r="K15" s="66">
        <f t="shared" si="8"/>
        <v>237389.77000000002</v>
      </c>
      <c r="L15" s="65">
        <f t="shared" si="9"/>
        <v>-1512.1699999999837</v>
      </c>
      <c r="M15" s="66">
        <f t="shared" si="10"/>
        <v>-283298.77000000008</v>
      </c>
      <c r="N15" s="68">
        <f t="shared" si="11"/>
        <v>-3987.2100000000064</v>
      </c>
      <c r="O15" s="61">
        <f t="shared" si="12"/>
        <v>2.8525732211565176</v>
      </c>
      <c r="P15" s="60">
        <f t="shared" si="13"/>
        <v>0.92519165462766639</v>
      </c>
      <c r="Q15" s="61">
        <f t="shared" si="14"/>
        <v>0.99588012287405414</v>
      </c>
      <c r="R15" s="60">
        <f t="shared" si="15"/>
        <v>0.56336919845302869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62"/>
      <c r="B16" s="54" t="s">
        <v>39</v>
      </c>
      <c r="C16" s="55" t="s">
        <v>46</v>
      </c>
      <c r="D16" s="56" t="s">
        <v>47</v>
      </c>
      <c r="E16" s="66">
        <v>0</v>
      </c>
      <c r="F16" s="65">
        <v>0</v>
      </c>
      <c r="G16" s="66">
        <v>0</v>
      </c>
      <c r="H16" s="65">
        <v>0</v>
      </c>
      <c r="I16" s="66">
        <v>0</v>
      </c>
      <c r="J16" s="65">
        <v>0</v>
      </c>
      <c r="K16" s="65">
        <f t="shared" si="8"/>
        <v>0</v>
      </c>
      <c r="L16" s="66">
        <f t="shared" si="9"/>
        <v>0</v>
      </c>
      <c r="M16" s="65">
        <f t="shared" si="10"/>
        <v>0</v>
      </c>
      <c r="N16" s="66">
        <f t="shared" si="11"/>
        <v>0</v>
      </c>
      <c r="O16" s="60" t="str">
        <f t="shared" si="12"/>
        <v/>
      </c>
      <c r="P16" s="61" t="str">
        <f t="shared" si="13"/>
        <v/>
      </c>
      <c r="Q16" s="60" t="str">
        <f t="shared" si="14"/>
        <v/>
      </c>
      <c r="R16" s="60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44" customFormat="1" ht="27.75" customHeight="1">
      <c r="A17" s="69" t="s">
        <v>48</v>
      </c>
      <c r="B17" s="70"/>
      <c r="C17" s="70"/>
      <c r="D17" s="71"/>
      <c r="E17" s="72">
        <f>E21+E24+E33+E46+E51+E54+E57+E66</f>
        <v>4546131.6300000008</v>
      </c>
      <c r="F17" s="72">
        <f>F21+F24+F33+F46+F51+F54+F57+F66</f>
        <v>7828488.9699999997</v>
      </c>
      <c r="G17" s="72">
        <f>G21+G24+G33+G46+G51+G54+G57+G66</f>
        <v>4297490.9699999997</v>
      </c>
      <c r="H17" s="72">
        <f>H21+H24+H33+H46+H51+H54+H57+H66</f>
        <v>798899.96999999997</v>
      </c>
      <c r="I17" s="72">
        <f>I21+I24+I33+I46+I51+I54+I57+I66</f>
        <v>4092181.1599999997</v>
      </c>
      <c r="J17" s="72">
        <f>J21+J24+J33+J46+J51+J54+J57+J66</f>
        <v>313585.91000000003</v>
      </c>
      <c r="K17" s="72">
        <f t="shared" si="8"/>
        <v>-453950.47000000114</v>
      </c>
      <c r="L17" s="72">
        <f t="shared" si="9"/>
        <v>-205309.81000000006</v>
      </c>
      <c r="M17" s="72">
        <f t="shared" si="10"/>
        <v>-3736307.8100000001</v>
      </c>
      <c r="N17" s="72">
        <f t="shared" si="11"/>
        <v>-485314.05999999994</v>
      </c>
      <c r="O17" s="73">
        <f t="shared" si="12"/>
        <v>0.90014577074619351</v>
      </c>
      <c r="P17" s="73">
        <f t="shared" si="13"/>
        <v>0.39252212013476484</v>
      </c>
      <c r="Q17" s="73">
        <f t="shared" si="14"/>
        <v>0.95222565645088486</v>
      </c>
      <c r="R17" s="73">
        <f t="shared" si="15"/>
        <v>0.52272937672670694</v>
      </c>
      <c r="S17" s="44"/>
      <c r="T17" s="44"/>
      <c r="U17" s="44"/>
      <c r="V17" s="44"/>
      <c r="W17" s="44"/>
      <c r="X17" s="44"/>
      <c r="Y17" s="44"/>
      <c r="Z17" s="44"/>
      <c r="AA17" s="44"/>
    </row>
    <row r="18" ht="18" customHeight="1">
      <c r="A18" s="74" t="s">
        <v>49</v>
      </c>
      <c r="B18" s="75" t="s">
        <v>26</v>
      </c>
      <c r="C18" s="76" t="s">
        <v>50</v>
      </c>
      <c r="D18" s="77" t="s">
        <v>51</v>
      </c>
      <c r="E18" s="58">
        <v>125658.05</v>
      </c>
      <c r="F18" s="78">
        <v>261278.39999999999</v>
      </c>
      <c r="G18" s="58">
        <v>147947.20000000001</v>
      </c>
      <c r="H18" s="78">
        <v>22724.599999999999</v>
      </c>
      <c r="I18" s="58">
        <v>156764.64000000001</v>
      </c>
      <c r="J18" s="78">
        <v>21948.509999999998</v>
      </c>
      <c r="K18" s="58">
        <f t="shared" si="8"/>
        <v>31106.590000000011</v>
      </c>
      <c r="L18" s="78">
        <f t="shared" si="9"/>
        <v>8817.4400000000023</v>
      </c>
      <c r="M18" s="78">
        <f t="shared" si="10"/>
        <v>-104513.75999999998</v>
      </c>
      <c r="N18" s="59">
        <f t="shared" si="11"/>
        <v>-776.09000000000015</v>
      </c>
      <c r="O18" s="79">
        <f t="shared" si="12"/>
        <v>1.2475495203053049</v>
      </c>
      <c r="P18" s="61">
        <f t="shared" si="13"/>
        <v>0.96584802372759038</v>
      </c>
      <c r="Q18" s="79">
        <f t="shared" si="14"/>
        <v>1.0595985594860868</v>
      </c>
      <c r="R18" s="80">
        <f t="shared" si="15"/>
        <v>0.59999081439567914</v>
      </c>
      <c r="S18" s="1"/>
      <c r="T18" s="1"/>
      <c r="U18" s="1"/>
      <c r="V18" s="1"/>
      <c r="W18" s="1"/>
      <c r="X18" s="1"/>
      <c r="Y18" s="1"/>
      <c r="Z18" s="1"/>
      <c r="AA18" s="1"/>
    </row>
    <row r="19" ht="17.25">
      <c r="A19" s="81"/>
      <c r="B19" s="82"/>
      <c r="C19" s="63" t="s">
        <v>52</v>
      </c>
      <c r="D19" s="83" t="s">
        <v>53</v>
      </c>
      <c r="E19" s="57">
        <v>4074.3499999999999</v>
      </c>
      <c r="F19" s="58">
        <v>3515.5999999999999</v>
      </c>
      <c r="G19" s="57">
        <v>3515.5999999999999</v>
      </c>
      <c r="H19" s="58">
        <v>0</v>
      </c>
      <c r="I19" s="57">
        <v>647</v>
      </c>
      <c r="J19" s="58">
        <v>0</v>
      </c>
      <c r="K19" s="57">
        <f t="shared" si="8"/>
        <v>-3427.3499999999999</v>
      </c>
      <c r="L19" s="58">
        <f t="shared" si="9"/>
        <v>-2868.5999999999999</v>
      </c>
      <c r="M19" s="57">
        <f t="shared" si="10"/>
        <v>-2868.5999999999999</v>
      </c>
      <c r="N19" s="84">
        <f t="shared" si="11"/>
        <v>0</v>
      </c>
      <c r="O19" s="61">
        <f t="shared" si="12"/>
        <v>0.15879833593088469</v>
      </c>
      <c r="P19" s="60" t="str">
        <f t="shared" si="13"/>
        <v/>
      </c>
      <c r="Q19" s="61">
        <f t="shared" si="14"/>
        <v>0.18403686426214588</v>
      </c>
      <c r="R19" s="85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81"/>
      <c r="B20" s="82"/>
      <c r="C20" s="55" t="s">
        <v>54</v>
      </c>
      <c r="D20" s="86" t="s">
        <v>55</v>
      </c>
      <c r="E20" s="58">
        <v>81816.440000000002</v>
      </c>
      <c r="F20" s="57">
        <f>181842.6+58512.3</f>
        <v>240354.90000000002</v>
      </c>
      <c r="G20" s="58">
        <f>105514.6+20512.3</f>
        <v>126026.90000000001</v>
      </c>
      <c r="H20" s="57">
        <f>15328+20512.3</f>
        <v>35840.300000000003</v>
      </c>
      <c r="I20" s="58">
        <v>136357.43000000002</v>
      </c>
      <c r="J20" s="57">
        <v>18098.220000000001</v>
      </c>
      <c r="K20" s="58">
        <f t="shared" si="8"/>
        <v>54540.99000000002</v>
      </c>
      <c r="L20" s="57">
        <f t="shared" si="9"/>
        <v>10330.530000000013</v>
      </c>
      <c r="M20" s="58">
        <f t="shared" si="10"/>
        <v>-103997.47</v>
      </c>
      <c r="N20" s="84">
        <f t="shared" si="11"/>
        <v>-17742.080000000002</v>
      </c>
      <c r="O20" s="60">
        <f t="shared" si="12"/>
        <v>1.6666262917330554</v>
      </c>
      <c r="P20" s="61">
        <f t="shared" si="13"/>
        <v>0.50496842939372721</v>
      </c>
      <c r="Q20" s="60">
        <f t="shared" si="14"/>
        <v>1.081970833211005</v>
      </c>
      <c r="R20" s="85">
        <f t="shared" si="15"/>
        <v>0.56731703826300195</v>
      </c>
      <c r="S20" s="1"/>
      <c r="T20" s="1"/>
      <c r="U20" s="1"/>
      <c r="V20" s="1"/>
      <c r="W20" s="1"/>
      <c r="X20" s="1"/>
      <c r="Y20" s="1"/>
      <c r="Z20" s="1"/>
      <c r="AA20" s="1"/>
    </row>
    <row r="21" s="87" customFormat="1" ht="17.25">
      <c r="A21" s="88"/>
      <c r="B21" s="89"/>
      <c r="C21" s="90"/>
      <c r="D21" s="91" t="s">
        <v>56</v>
      </c>
      <c r="E21" s="92">
        <f>SUM(E18:E20)</f>
        <v>211548.84000000003</v>
      </c>
      <c r="F21" s="92">
        <f>SUM(F18:F20)</f>
        <v>505148.90000000002</v>
      </c>
      <c r="G21" s="92">
        <f>SUM(G18:G20)</f>
        <v>277489.70000000001</v>
      </c>
      <c r="H21" s="92">
        <f>SUM(H18:H20)</f>
        <v>58564.900000000001</v>
      </c>
      <c r="I21" s="92">
        <f>SUM(I18:I20)</f>
        <v>293769.07000000007</v>
      </c>
      <c r="J21" s="92">
        <f>SUM(J18:J20)</f>
        <v>40046.729999999996</v>
      </c>
      <c r="K21" s="92">
        <f t="shared" si="8"/>
        <v>82220.23000000004</v>
      </c>
      <c r="L21" s="92">
        <f t="shared" si="9"/>
        <v>16279.370000000054</v>
      </c>
      <c r="M21" s="92">
        <f t="shared" si="10"/>
        <v>-211379.82999999996</v>
      </c>
      <c r="N21" s="92">
        <f t="shared" si="11"/>
        <v>-18518.170000000006</v>
      </c>
      <c r="O21" s="93">
        <f t="shared" si="12"/>
        <v>1.3886583826221881</v>
      </c>
      <c r="P21" s="93">
        <f t="shared" si="13"/>
        <v>0.68380087731730088</v>
      </c>
      <c r="Q21" s="93">
        <f t="shared" si="14"/>
        <v>1.0586665739304921</v>
      </c>
      <c r="R21" s="94">
        <f t="shared" si="15"/>
        <v>0.58154945997110963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ht="34.5">
      <c r="A22" s="95">
        <v>951</v>
      </c>
      <c r="B22" s="75" t="s">
        <v>23</v>
      </c>
      <c r="C22" s="96" t="s">
        <v>57</v>
      </c>
      <c r="D22" s="97" t="s">
        <v>58</v>
      </c>
      <c r="E22" s="58">
        <v>74280.770000000004</v>
      </c>
      <c r="F22" s="78">
        <v>104746.7</v>
      </c>
      <c r="G22" s="58">
        <v>56821.599999999999</v>
      </c>
      <c r="H22" s="78">
        <v>9042</v>
      </c>
      <c r="I22" s="58">
        <v>57264.410000000003</v>
      </c>
      <c r="J22" s="78">
        <v>8209.5799999999999</v>
      </c>
      <c r="K22" s="58">
        <f t="shared" si="8"/>
        <v>-17016.360000000001</v>
      </c>
      <c r="L22" s="78">
        <f t="shared" si="9"/>
        <v>442.81000000000495</v>
      </c>
      <c r="M22" s="58">
        <f t="shared" si="10"/>
        <v>-47482.289999999994</v>
      </c>
      <c r="N22" s="78">
        <f t="shared" si="11"/>
        <v>-832.42000000000007</v>
      </c>
      <c r="O22" s="61">
        <f t="shared" si="12"/>
        <v>0.77091836823985538</v>
      </c>
      <c r="P22" s="79">
        <f t="shared" si="13"/>
        <v>0.90793850917938512</v>
      </c>
      <c r="Q22" s="61">
        <f t="shared" si="14"/>
        <v>1.0077929871738918</v>
      </c>
      <c r="R22" s="80">
        <f t="shared" si="15"/>
        <v>0.54669416793082748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98"/>
      <c r="B23" s="82"/>
      <c r="C23" s="99" t="s">
        <v>59</v>
      </c>
      <c r="D23" s="83" t="s">
        <v>60</v>
      </c>
      <c r="E23" s="57">
        <v>9397.6299999999992</v>
      </c>
      <c r="F23" s="58">
        <v>11046.9</v>
      </c>
      <c r="G23" s="57">
        <v>5802.1000000000004</v>
      </c>
      <c r="H23" s="58">
        <v>1590</v>
      </c>
      <c r="I23" s="57">
        <v>9512.8899999999994</v>
      </c>
      <c r="J23" s="58">
        <v>311.89999999999998</v>
      </c>
      <c r="K23" s="57">
        <f t="shared" si="8"/>
        <v>115.26000000000022</v>
      </c>
      <c r="L23" s="58">
        <f t="shared" si="9"/>
        <v>3710.7899999999991</v>
      </c>
      <c r="M23" s="57">
        <f t="shared" si="10"/>
        <v>-1534.0100000000002</v>
      </c>
      <c r="N23" s="58">
        <f t="shared" si="11"/>
        <v>-1278.0999999999999</v>
      </c>
      <c r="O23" s="60">
        <f t="shared" si="12"/>
        <v>1.0122647944215724</v>
      </c>
      <c r="P23" s="61">
        <f t="shared" si="13"/>
        <v>0.19616352201257861</v>
      </c>
      <c r="Q23" s="60">
        <f t="shared" si="14"/>
        <v>1.6395598145499042</v>
      </c>
      <c r="R23" s="85">
        <f t="shared" si="15"/>
        <v>0.86113660846029205</v>
      </c>
      <c r="S23" s="1"/>
      <c r="T23" s="1"/>
      <c r="U23" s="1"/>
      <c r="V23" s="1"/>
      <c r="W23" s="1"/>
      <c r="X23" s="1"/>
      <c r="Y23" s="1"/>
      <c r="Z23" s="1"/>
      <c r="AA23" s="1"/>
    </row>
    <row r="24" s="87" customFormat="1" ht="17.25">
      <c r="A24" s="100"/>
      <c r="B24" s="89"/>
      <c r="C24" s="90"/>
      <c r="D24" s="91" t="s">
        <v>56</v>
      </c>
      <c r="E24" s="92">
        <f>E22+E23</f>
        <v>83678.400000000009</v>
      </c>
      <c r="F24" s="92">
        <f>F22+F23</f>
        <v>115793.59999999999</v>
      </c>
      <c r="G24" s="92">
        <f>G22+G23</f>
        <v>62623.699999999997</v>
      </c>
      <c r="H24" s="92">
        <f>H22+H23</f>
        <v>10632</v>
      </c>
      <c r="I24" s="92">
        <f>I22+I23</f>
        <v>66777.300000000003</v>
      </c>
      <c r="J24" s="92">
        <f>J22+J23</f>
        <v>8521.4799999999996</v>
      </c>
      <c r="K24" s="92">
        <f t="shared" si="8"/>
        <v>-16901.100000000006</v>
      </c>
      <c r="L24" s="92">
        <f t="shared" si="9"/>
        <v>4153.6000000000058</v>
      </c>
      <c r="M24" s="92">
        <f t="shared" si="10"/>
        <v>-49016.299999999988</v>
      </c>
      <c r="N24" s="92">
        <f t="shared" si="11"/>
        <v>-2110.5200000000004</v>
      </c>
      <c r="O24" s="93">
        <f t="shared" si="12"/>
        <v>0.798023145758045</v>
      </c>
      <c r="P24" s="93">
        <f t="shared" si="13"/>
        <v>0.80149360421369442</v>
      </c>
      <c r="Q24" s="93">
        <f t="shared" si="14"/>
        <v>1.0663263269337329</v>
      </c>
      <c r="R24" s="94">
        <f t="shared" si="15"/>
        <v>0.57669249423111479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ht="17.25">
      <c r="A25" s="101" t="s">
        <v>61</v>
      </c>
      <c r="B25" s="75" t="s">
        <v>62</v>
      </c>
      <c r="C25" s="102" t="s">
        <v>63</v>
      </c>
      <c r="D25" s="83" t="s">
        <v>64</v>
      </c>
      <c r="E25" s="78">
        <v>7403.8299999999999</v>
      </c>
      <c r="F25" s="58">
        <v>7680</v>
      </c>
      <c r="G25" s="78">
        <v>0</v>
      </c>
      <c r="H25" s="58">
        <v>0</v>
      </c>
      <c r="I25" s="78">
        <v>0</v>
      </c>
      <c r="J25" s="58">
        <v>0</v>
      </c>
      <c r="K25" s="78">
        <f t="shared" si="8"/>
        <v>-7403.8299999999999</v>
      </c>
      <c r="L25" s="58">
        <f t="shared" si="9"/>
        <v>0</v>
      </c>
      <c r="M25" s="78">
        <f t="shared" si="10"/>
        <v>-7680</v>
      </c>
      <c r="N25" s="58">
        <f t="shared" si="11"/>
        <v>0</v>
      </c>
      <c r="O25" s="79">
        <f t="shared" si="12"/>
        <v>0</v>
      </c>
      <c r="P25" s="61" t="str">
        <f t="shared" si="13"/>
        <v/>
      </c>
      <c r="Q25" s="79" t="str">
        <f t="shared" si="14"/>
        <v/>
      </c>
      <c r="R25" s="80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10"/>
      <c r="B26" s="82"/>
      <c r="C26" s="55" t="s">
        <v>65</v>
      </c>
      <c r="D26" s="103" t="s">
        <v>66</v>
      </c>
      <c r="E26" s="58">
        <v>45915.300000000003</v>
      </c>
      <c r="F26" s="57">
        <v>80987</v>
      </c>
      <c r="G26" s="58">
        <v>45600</v>
      </c>
      <c r="H26" s="57">
        <v>6000</v>
      </c>
      <c r="I26" s="58">
        <v>45623.199999999997</v>
      </c>
      <c r="J26" s="57">
        <v>5444.1399999999994</v>
      </c>
      <c r="K26" s="58">
        <f t="shared" si="8"/>
        <v>-292.10000000000582</v>
      </c>
      <c r="L26" s="57">
        <f t="shared" si="9"/>
        <v>23.19999999999709</v>
      </c>
      <c r="M26" s="58">
        <f t="shared" si="10"/>
        <v>-35363.800000000003</v>
      </c>
      <c r="N26" s="57">
        <f t="shared" si="11"/>
        <v>-555.86000000000058</v>
      </c>
      <c r="O26" s="61">
        <f t="shared" si="12"/>
        <v>0.9936382861486257</v>
      </c>
      <c r="P26" s="60">
        <f t="shared" si="13"/>
        <v>0.90735666666666659</v>
      </c>
      <c r="Q26" s="61">
        <f t="shared" si="14"/>
        <v>1.0005087719298245</v>
      </c>
      <c r="R26" s="85">
        <f t="shared" si="15"/>
        <v>0.56333979527578493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10"/>
      <c r="B27" s="82"/>
      <c r="C27" s="104" t="s">
        <v>67</v>
      </c>
      <c r="D27" s="105" t="s">
        <v>68</v>
      </c>
      <c r="E27" s="57">
        <v>1036.8699999999999</v>
      </c>
      <c r="F27" s="58">
        <v>557</v>
      </c>
      <c r="G27" s="57">
        <v>324.89999999999998</v>
      </c>
      <c r="H27" s="58">
        <v>46.399999999999999</v>
      </c>
      <c r="I27" s="57">
        <v>650.78999999999996</v>
      </c>
      <c r="J27" s="58">
        <v>203.69</v>
      </c>
      <c r="K27" s="57">
        <f t="shared" si="8"/>
        <v>-386.07999999999993</v>
      </c>
      <c r="L27" s="58">
        <f t="shared" si="9"/>
        <v>325.88999999999999</v>
      </c>
      <c r="M27" s="57">
        <f t="shared" si="10"/>
        <v>93.789999999999964</v>
      </c>
      <c r="N27" s="58">
        <f t="shared" si="11"/>
        <v>157.28999999999999</v>
      </c>
      <c r="O27" s="60">
        <f t="shared" si="12"/>
        <v>0.62764859625603986</v>
      </c>
      <c r="P27" s="61">
        <f t="shared" si="13"/>
        <v>4.3898706896551722</v>
      </c>
      <c r="Q27" s="60">
        <f t="shared" si="14"/>
        <v>2.0030470914127423</v>
      </c>
      <c r="R27" s="85">
        <f t="shared" si="15"/>
        <v>1.1683842010771992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10"/>
      <c r="B28" s="82"/>
      <c r="C28" s="106" t="s">
        <v>69</v>
      </c>
      <c r="D28" s="107" t="s">
        <v>70</v>
      </c>
      <c r="E28" s="58">
        <v>0</v>
      </c>
      <c r="F28" s="57">
        <f>8021.3+5846.2</f>
        <v>13867.5</v>
      </c>
      <c r="G28" s="58">
        <v>0</v>
      </c>
      <c r="H28" s="57">
        <v>0</v>
      </c>
      <c r="I28" s="58">
        <v>0</v>
      </c>
      <c r="J28" s="57">
        <v>0</v>
      </c>
      <c r="K28" s="58">
        <f t="shared" si="8"/>
        <v>0</v>
      </c>
      <c r="L28" s="57">
        <f t="shared" si="9"/>
        <v>0</v>
      </c>
      <c r="M28" s="58">
        <f t="shared" si="10"/>
        <v>-13867.5</v>
      </c>
      <c r="N28" s="57">
        <f t="shared" si="11"/>
        <v>0</v>
      </c>
      <c r="O28" s="61" t="str">
        <f t="shared" si="12"/>
        <v/>
      </c>
      <c r="P28" s="60" t="str">
        <f t="shared" si="13"/>
        <v/>
      </c>
      <c r="Q28" s="61" t="str">
        <f t="shared" si="14"/>
        <v/>
      </c>
      <c r="R28" s="85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10"/>
      <c r="B29" s="82"/>
      <c r="C29" s="104" t="s">
        <v>71</v>
      </c>
      <c r="D29" s="105" t="s">
        <v>72</v>
      </c>
      <c r="E29" s="57">
        <f>E30+E32+E31</f>
        <v>292792.26000000001</v>
      </c>
      <c r="F29" s="58">
        <f>F30+F32+F31</f>
        <v>84753.799999999988</v>
      </c>
      <c r="G29" s="57">
        <f>G30+G32+G31</f>
        <v>52500.199999999997</v>
      </c>
      <c r="H29" s="58">
        <f>H30+H32+H31</f>
        <v>21630.299999999999</v>
      </c>
      <c r="I29" s="57">
        <f>I30+I32+I31</f>
        <v>35190.900000000001</v>
      </c>
      <c r="J29" s="58">
        <f>J30+J32+J31</f>
        <v>3036.1300000000001</v>
      </c>
      <c r="K29" s="57">
        <f t="shared" si="8"/>
        <v>-257601.36000000002</v>
      </c>
      <c r="L29" s="58">
        <f t="shared" si="9"/>
        <v>-17309.299999999996</v>
      </c>
      <c r="M29" s="57">
        <f t="shared" si="10"/>
        <v>-49562.899999999987</v>
      </c>
      <c r="N29" s="58">
        <f t="shared" si="11"/>
        <v>-18594.169999999998</v>
      </c>
      <c r="O29" s="60">
        <f t="shared" si="12"/>
        <v>0.12019067717158917</v>
      </c>
      <c r="P29" s="61">
        <f t="shared" si="13"/>
        <v>0.14036467362912211</v>
      </c>
      <c r="Q29" s="60">
        <f t="shared" si="14"/>
        <v>0.67030030361789106</v>
      </c>
      <c r="R29" s="85">
        <f t="shared" si="15"/>
        <v>0.41521324117620695</v>
      </c>
      <c r="S29" s="1"/>
      <c r="T29" s="1"/>
      <c r="U29" s="1"/>
      <c r="V29" s="1"/>
      <c r="W29" s="1"/>
      <c r="X29" s="1"/>
      <c r="Y29" s="1"/>
      <c r="Z29" s="1"/>
      <c r="AA29" s="1"/>
    </row>
    <row r="30" s="108" customFormat="1" ht="17.25" customHeight="1">
      <c r="A30" s="109"/>
      <c r="B30" s="110"/>
      <c r="C30" s="111" t="s">
        <v>73</v>
      </c>
      <c r="D30" s="112" t="s">
        <v>74</v>
      </c>
      <c r="E30" s="113">
        <v>274319.56</v>
      </c>
      <c r="F30" s="114">
        <v>45675.099999999999</v>
      </c>
      <c r="G30" s="113">
        <v>31595.5</v>
      </c>
      <c r="H30" s="114">
        <v>18300</v>
      </c>
      <c r="I30" s="113">
        <v>14703.559999999999</v>
      </c>
      <c r="J30" s="114">
        <v>1416.6700000000001</v>
      </c>
      <c r="K30" s="113">
        <f t="shared" si="8"/>
        <v>-259616</v>
      </c>
      <c r="L30" s="114">
        <f t="shared" si="9"/>
        <v>-16891.940000000002</v>
      </c>
      <c r="M30" s="113">
        <f t="shared" si="10"/>
        <v>-30971.540000000001</v>
      </c>
      <c r="N30" s="114">
        <f t="shared" si="11"/>
        <v>-16883.330000000002</v>
      </c>
      <c r="O30" s="115">
        <f t="shared" si="12"/>
        <v>0.053600115135792721</v>
      </c>
      <c r="P30" s="116">
        <f t="shared" si="13"/>
        <v>0.077413661202185791</v>
      </c>
      <c r="Q30" s="115">
        <f t="shared" si="14"/>
        <v>0.46536880251934609</v>
      </c>
      <c r="R30" s="117">
        <f t="shared" si="15"/>
        <v>0.32191631764353007</v>
      </c>
      <c r="S30" s="108"/>
      <c r="T30" s="108"/>
      <c r="U30" s="108"/>
      <c r="V30" s="108"/>
      <c r="W30" s="108"/>
      <c r="X30" s="108"/>
      <c r="Y30" s="108"/>
      <c r="Z30" s="108"/>
      <c r="AA30" s="108"/>
    </row>
    <row r="31" s="108" customFormat="1" ht="16.5" customHeight="1">
      <c r="A31" s="109"/>
      <c r="B31" s="110"/>
      <c r="C31" s="118" t="s">
        <v>75</v>
      </c>
      <c r="D31" s="119" t="s">
        <v>76</v>
      </c>
      <c r="E31" s="114">
        <v>0</v>
      </c>
      <c r="F31" s="113">
        <v>481</v>
      </c>
      <c r="G31" s="114">
        <v>301.10000000000002</v>
      </c>
      <c r="H31" s="113">
        <v>0</v>
      </c>
      <c r="I31" s="114">
        <v>0</v>
      </c>
      <c r="J31" s="113">
        <v>0</v>
      </c>
      <c r="K31" s="114">
        <f t="shared" si="8"/>
        <v>0</v>
      </c>
      <c r="L31" s="113">
        <f t="shared" si="9"/>
        <v>-301.10000000000002</v>
      </c>
      <c r="M31" s="114">
        <f t="shared" si="10"/>
        <v>-481</v>
      </c>
      <c r="N31" s="113">
        <f t="shared" si="11"/>
        <v>0</v>
      </c>
      <c r="O31" s="116" t="str">
        <f t="shared" si="12"/>
        <v/>
      </c>
      <c r="P31" s="115" t="str">
        <f t="shared" si="13"/>
        <v/>
      </c>
      <c r="Q31" s="116">
        <f t="shared" si="14"/>
        <v>0</v>
      </c>
      <c r="R31" s="117">
        <f t="shared" si="15"/>
        <v>0</v>
      </c>
      <c r="S31" s="108"/>
      <c r="T31" s="108"/>
      <c r="U31" s="108"/>
      <c r="V31" s="108"/>
      <c r="W31" s="108"/>
      <c r="X31" s="108"/>
      <c r="Y31" s="108"/>
      <c r="Z31" s="108"/>
      <c r="AA31" s="108"/>
    </row>
    <row r="32" s="108" customFormat="1" ht="17.25" customHeight="1">
      <c r="A32" s="109"/>
      <c r="B32" s="110"/>
      <c r="C32" s="111" t="s">
        <v>77</v>
      </c>
      <c r="D32" s="112" t="s">
        <v>78</v>
      </c>
      <c r="E32" s="113">
        <v>18472.700000000001</v>
      </c>
      <c r="F32" s="114">
        <v>38597.699999999997</v>
      </c>
      <c r="G32" s="113">
        <v>20603.599999999999</v>
      </c>
      <c r="H32" s="114">
        <v>3330.3000000000002</v>
      </c>
      <c r="I32" s="113">
        <v>20487.34</v>
      </c>
      <c r="J32" s="114">
        <v>1619.4599999999998</v>
      </c>
      <c r="K32" s="113">
        <f t="shared" si="8"/>
        <v>2014.6399999999994</v>
      </c>
      <c r="L32" s="114">
        <f t="shared" si="9"/>
        <v>-116.2599999999984</v>
      </c>
      <c r="M32" s="113">
        <f t="shared" si="10"/>
        <v>-18110.359999999997</v>
      </c>
      <c r="N32" s="114">
        <f t="shared" si="11"/>
        <v>-1710.8400000000004</v>
      </c>
      <c r="O32" s="115">
        <f t="shared" si="12"/>
        <v>1.1090603972348383</v>
      </c>
      <c r="P32" s="116">
        <f t="shared" si="13"/>
        <v>0.4862805152688946</v>
      </c>
      <c r="Q32" s="115">
        <f t="shared" si="14"/>
        <v>0.99435729678308649</v>
      </c>
      <c r="R32" s="117">
        <f t="shared" si="15"/>
        <v>0.53079173111351197</v>
      </c>
      <c r="S32" s="108"/>
      <c r="T32" s="108"/>
      <c r="U32" s="108"/>
      <c r="V32" s="108"/>
      <c r="W32" s="108"/>
      <c r="X32" s="108"/>
      <c r="Y32" s="108"/>
      <c r="Z32" s="108"/>
      <c r="AA32" s="108"/>
    </row>
    <row r="33" s="87" customFormat="1" ht="17.25">
      <c r="A33" s="120"/>
      <c r="B33" s="121"/>
      <c r="C33" s="90"/>
      <c r="D33" s="91" t="s">
        <v>56</v>
      </c>
      <c r="E33" s="92">
        <f>SUM(E25:E29)</f>
        <v>347148.26000000001</v>
      </c>
      <c r="F33" s="92">
        <f>SUM(F25:F29)</f>
        <v>187845.29999999999</v>
      </c>
      <c r="G33" s="92">
        <f>SUM(G25:G29)</f>
        <v>98425.100000000006</v>
      </c>
      <c r="H33" s="92">
        <f>SUM(H25:H29)</f>
        <v>27676.699999999997</v>
      </c>
      <c r="I33" s="92">
        <f>SUM(I25:I29)</f>
        <v>81464.889999999999</v>
      </c>
      <c r="J33" s="92">
        <f>SUM(J25:J29)</f>
        <v>8683.9599999999991</v>
      </c>
      <c r="K33" s="92">
        <f t="shared" si="8"/>
        <v>-265683.37</v>
      </c>
      <c r="L33" s="92">
        <f t="shared" si="9"/>
        <v>-16960.210000000006</v>
      </c>
      <c r="M33" s="92">
        <f t="shared" si="10"/>
        <v>-106380.40999999999</v>
      </c>
      <c r="N33" s="92">
        <f t="shared" si="11"/>
        <v>-18992.739999999998</v>
      </c>
      <c r="O33" s="93">
        <f t="shared" si="12"/>
        <v>0.23466887029766476</v>
      </c>
      <c r="P33" s="93">
        <f t="shared" si="13"/>
        <v>0.31376428548201196</v>
      </c>
      <c r="Q33" s="93">
        <f t="shared" si="14"/>
        <v>0.82768409684115118</v>
      </c>
      <c r="R33" s="94">
        <f t="shared" si="15"/>
        <v>0.43368074686989777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</row>
    <row r="34" ht="19.5" customHeight="1">
      <c r="A34" s="122" t="s">
        <v>79</v>
      </c>
      <c r="B34" s="123" t="s">
        <v>39</v>
      </c>
      <c r="C34" s="106" t="s">
        <v>80</v>
      </c>
      <c r="D34" s="97" t="s">
        <v>81</v>
      </c>
      <c r="E34" s="58">
        <v>163186.87</v>
      </c>
      <c r="F34" s="78">
        <v>293156.20000000001</v>
      </c>
      <c r="G34" s="58">
        <v>158400</v>
      </c>
      <c r="H34" s="78">
        <v>17400</v>
      </c>
      <c r="I34" s="58">
        <v>156405.44</v>
      </c>
      <c r="J34" s="78">
        <v>4184.5</v>
      </c>
      <c r="K34" s="58">
        <f t="shared" si="8"/>
        <v>-6781.429999999993</v>
      </c>
      <c r="L34" s="78">
        <f t="shared" si="9"/>
        <v>-1994.5599999999977</v>
      </c>
      <c r="M34" s="58">
        <f t="shared" si="10"/>
        <v>-136750.76000000001</v>
      </c>
      <c r="N34" s="78">
        <f t="shared" si="11"/>
        <v>-13215.5</v>
      </c>
      <c r="O34" s="61">
        <f t="shared" si="12"/>
        <v>0.95844377675728454</v>
      </c>
      <c r="P34" s="79">
        <f t="shared" si="13"/>
        <v>0.24048850574712644</v>
      </c>
      <c r="Q34" s="61">
        <f t="shared" si="14"/>
        <v>0.98740808080808085</v>
      </c>
      <c r="R34" s="80">
        <f t="shared" si="15"/>
        <v>0.53352253849654208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81"/>
      <c r="B35" s="124"/>
      <c r="C35" s="63" t="s">
        <v>82</v>
      </c>
      <c r="D35" s="105" t="s">
        <v>83</v>
      </c>
      <c r="E35" s="57">
        <v>17551.02</v>
      </c>
      <c r="F35" s="58">
        <v>100194.10000000001</v>
      </c>
      <c r="G35" s="57">
        <v>81192</v>
      </c>
      <c r="H35" s="58">
        <v>19000</v>
      </c>
      <c r="I35" s="57">
        <v>102544.21000000001</v>
      </c>
      <c r="J35" s="58">
        <v>5412.6800000000003</v>
      </c>
      <c r="K35" s="57">
        <f t="shared" si="8"/>
        <v>84993.190000000002</v>
      </c>
      <c r="L35" s="58">
        <f t="shared" si="9"/>
        <v>21352.210000000006</v>
      </c>
      <c r="M35" s="57">
        <f t="shared" si="10"/>
        <v>2350.1100000000006</v>
      </c>
      <c r="N35" s="58">
        <f t="shared" si="11"/>
        <v>-13587.32</v>
      </c>
      <c r="O35" s="60">
        <f t="shared" si="12"/>
        <v>5.8426353568054736</v>
      </c>
      <c r="P35" s="61">
        <f t="shared" si="13"/>
        <v>0.28487789473684211</v>
      </c>
      <c r="Q35" s="60">
        <f t="shared" si="14"/>
        <v>1.2629841610010839</v>
      </c>
      <c r="R35" s="85">
        <f t="shared" si="15"/>
        <v>1.0234555727333245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81"/>
      <c r="B36" s="124"/>
      <c r="C36" s="55" t="s">
        <v>84</v>
      </c>
      <c r="D36" s="86" t="s">
        <v>85</v>
      </c>
      <c r="E36" s="58">
        <v>25154.75</v>
      </c>
      <c r="F36" s="57">
        <v>53573.900000000001</v>
      </c>
      <c r="G36" s="58">
        <v>31653</v>
      </c>
      <c r="H36" s="57">
        <v>3990</v>
      </c>
      <c r="I36" s="58">
        <v>36212.289999999994</v>
      </c>
      <c r="J36" s="57">
        <v>1036.97</v>
      </c>
      <c r="K36" s="58">
        <f t="shared" si="8"/>
        <v>11057.539999999994</v>
      </c>
      <c r="L36" s="57">
        <f t="shared" si="9"/>
        <v>4559.2899999999936</v>
      </c>
      <c r="M36" s="58">
        <f t="shared" si="10"/>
        <v>-17361.610000000008</v>
      </c>
      <c r="N36" s="57">
        <f t="shared" si="11"/>
        <v>-2953.0299999999997</v>
      </c>
      <c r="O36" s="61">
        <f t="shared" si="12"/>
        <v>1.4395805961100783</v>
      </c>
      <c r="P36" s="60">
        <f t="shared" si="13"/>
        <v>0.25989223057644112</v>
      </c>
      <c r="Q36" s="61">
        <f t="shared" si="14"/>
        <v>1.1440397434682334</v>
      </c>
      <c r="R36" s="85">
        <f t="shared" si="15"/>
        <v>0.67593156369052831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81"/>
      <c r="B37" s="124"/>
      <c r="C37" s="63" t="s">
        <v>86</v>
      </c>
      <c r="D37" s="105" t="s">
        <v>87</v>
      </c>
      <c r="E37" s="57">
        <v>408112.03000000003</v>
      </c>
      <c r="F37" s="58">
        <v>115809.2</v>
      </c>
      <c r="G37" s="57">
        <v>19505.099999999999</v>
      </c>
      <c r="H37" s="58">
        <v>9701.7999999999993</v>
      </c>
      <c r="I37" s="57">
        <v>10778.75</v>
      </c>
      <c r="J37" s="58">
        <v>0</v>
      </c>
      <c r="K37" s="57">
        <f t="shared" si="8"/>
        <v>-397333.28000000003</v>
      </c>
      <c r="L37" s="58">
        <f t="shared" si="9"/>
        <v>-8726.3499999999985</v>
      </c>
      <c r="M37" s="57">
        <f t="shared" si="10"/>
        <v>-105030.45</v>
      </c>
      <c r="N37" s="58">
        <f t="shared" si="11"/>
        <v>-9701.7999999999993</v>
      </c>
      <c r="O37" s="60">
        <f t="shared" si="12"/>
        <v>0.026411252812126119</v>
      </c>
      <c r="P37" s="61">
        <f t="shared" si="13"/>
        <v>0</v>
      </c>
      <c r="Q37" s="60">
        <f t="shared" si="14"/>
        <v>0.55261188099522696</v>
      </c>
      <c r="R37" s="85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81"/>
      <c r="B38" s="124"/>
      <c r="C38" s="55" t="s">
        <v>88</v>
      </c>
      <c r="D38" s="86" t="s">
        <v>89</v>
      </c>
      <c r="E38" s="58">
        <v>3011.9099999999999</v>
      </c>
      <c r="F38" s="57">
        <v>3436.3000000000002</v>
      </c>
      <c r="G38" s="58">
        <v>847</v>
      </c>
      <c r="H38" s="57">
        <v>0</v>
      </c>
      <c r="I38" s="58">
        <v>2410.98</v>
      </c>
      <c r="J38" s="57">
        <v>171.44999999999999</v>
      </c>
      <c r="K38" s="58">
        <f t="shared" si="8"/>
        <v>-600.92999999999984</v>
      </c>
      <c r="L38" s="57">
        <f t="shared" si="9"/>
        <v>1563.98</v>
      </c>
      <c r="M38" s="58">
        <f t="shared" si="10"/>
        <v>-1025.3200000000002</v>
      </c>
      <c r="N38" s="57">
        <f t="shared" si="11"/>
        <v>171.44999999999999</v>
      </c>
      <c r="O38" s="61">
        <f t="shared" si="12"/>
        <v>0.80048208611811111</v>
      </c>
      <c r="P38" s="60" t="str">
        <f t="shared" si="13"/>
        <v/>
      </c>
      <c r="Q38" s="61">
        <f t="shared" si="14"/>
        <v>2.8464935064935064</v>
      </c>
      <c r="R38" s="85">
        <f t="shared" si="15"/>
        <v>0.70162092948811217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81"/>
      <c r="B39" s="124"/>
      <c r="C39" s="63" t="s">
        <v>90</v>
      </c>
      <c r="D39" s="83" t="s">
        <v>91</v>
      </c>
      <c r="E39" s="57">
        <v>172.56</v>
      </c>
      <c r="F39" s="58">
        <v>0</v>
      </c>
      <c r="G39" s="57">
        <v>0</v>
      </c>
      <c r="H39" s="58">
        <v>0</v>
      </c>
      <c r="I39" s="57">
        <v>435.39999999999998</v>
      </c>
      <c r="J39" s="58">
        <v>134.53</v>
      </c>
      <c r="K39" s="57">
        <f t="shared" si="8"/>
        <v>262.83999999999997</v>
      </c>
      <c r="L39" s="58">
        <f t="shared" si="9"/>
        <v>435.39999999999998</v>
      </c>
      <c r="M39" s="57">
        <f t="shared" si="10"/>
        <v>435.39999999999998</v>
      </c>
      <c r="N39" s="58">
        <f t="shared" si="11"/>
        <v>134.53</v>
      </c>
      <c r="O39" s="60">
        <f t="shared" si="12"/>
        <v>2.5231803430690771</v>
      </c>
      <c r="P39" s="61" t="str">
        <f t="shared" si="13"/>
        <v/>
      </c>
      <c r="Q39" s="60" t="str">
        <f t="shared" si="14"/>
        <v/>
      </c>
      <c r="R39" s="85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81"/>
      <c r="B40" s="124"/>
      <c r="C40" s="106" t="s">
        <v>92</v>
      </c>
      <c r="D40" s="107" t="s">
        <v>93</v>
      </c>
      <c r="E40" s="58">
        <v>138382.07000000001</v>
      </c>
      <c r="F40" s="57">
        <v>202788.70000000001</v>
      </c>
      <c r="G40" s="58">
        <v>107630</v>
      </c>
      <c r="H40" s="57">
        <v>18100</v>
      </c>
      <c r="I40" s="58">
        <v>88347.849999999991</v>
      </c>
      <c r="J40" s="57">
        <v>2318.3299999999999</v>
      </c>
      <c r="K40" s="58">
        <f t="shared" si="8"/>
        <v>-50034.220000000016</v>
      </c>
      <c r="L40" s="57">
        <f t="shared" si="9"/>
        <v>-19282.150000000009</v>
      </c>
      <c r="M40" s="58">
        <f t="shared" si="10"/>
        <v>-114440.85000000002</v>
      </c>
      <c r="N40" s="57">
        <f t="shared" si="11"/>
        <v>-15781.67</v>
      </c>
      <c r="O40" s="61">
        <f t="shared" si="12"/>
        <v>0.63843422778688008</v>
      </c>
      <c r="P40" s="60">
        <f t="shared" si="13"/>
        <v>0.12808453038674034</v>
      </c>
      <c r="Q40" s="61">
        <f t="shared" si="14"/>
        <v>0.82084781194834144</v>
      </c>
      <c r="R40" s="85">
        <f t="shared" si="15"/>
        <v>0.43566456119103275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81"/>
      <c r="B41" s="124"/>
      <c r="C41" s="104" t="s">
        <v>94</v>
      </c>
      <c r="D41" s="105" t="s">
        <v>95</v>
      </c>
      <c r="E41" s="57">
        <v>0</v>
      </c>
      <c r="F41" s="58">
        <v>0</v>
      </c>
      <c r="G41" s="57">
        <v>0</v>
      </c>
      <c r="H41" s="58">
        <v>0</v>
      </c>
      <c r="I41" s="57">
        <v>12263.459999999999</v>
      </c>
      <c r="J41" s="58">
        <v>0</v>
      </c>
      <c r="K41" s="57">
        <f t="shared" si="8"/>
        <v>12263.459999999999</v>
      </c>
      <c r="L41" s="58">
        <f t="shared" si="9"/>
        <v>12263.459999999999</v>
      </c>
      <c r="M41" s="57">
        <f t="shared" si="10"/>
        <v>12263.459999999999</v>
      </c>
      <c r="N41" s="58">
        <f t="shared" si="11"/>
        <v>0</v>
      </c>
      <c r="O41" s="60" t="str">
        <f t="shared" si="12"/>
        <v/>
      </c>
      <c r="P41" s="61" t="str">
        <f t="shared" si="13"/>
        <v/>
      </c>
      <c r="Q41" s="60" t="str">
        <f t="shared" si="14"/>
        <v/>
      </c>
      <c r="R41" s="85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81"/>
      <c r="B42" s="124"/>
      <c r="C42" s="106" t="s">
        <v>96</v>
      </c>
      <c r="D42" s="107" t="s">
        <v>97</v>
      </c>
      <c r="E42" s="58">
        <v>81230.149999999994</v>
      </c>
      <c r="F42" s="57">
        <v>96901.899999999994</v>
      </c>
      <c r="G42" s="58">
        <v>45500</v>
      </c>
      <c r="H42" s="57">
        <v>8700</v>
      </c>
      <c r="I42" s="58">
        <v>46954.620000000003</v>
      </c>
      <c r="J42" s="57">
        <v>8759.5200000000004</v>
      </c>
      <c r="K42" s="58">
        <f t="shared" si="8"/>
        <v>-34275.529999999992</v>
      </c>
      <c r="L42" s="57">
        <f t="shared" si="9"/>
        <v>1454.6200000000026</v>
      </c>
      <c r="M42" s="58">
        <f t="shared" si="10"/>
        <v>-49947.279999999992</v>
      </c>
      <c r="N42" s="57">
        <f t="shared" si="11"/>
        <v>59.520000000000437</v>
      </c>
      <c r="O42" s="61">
        <f t="shared" si="12"/>
        <v>0.57804423603797361</v>
      </c>
      <c r="P42" s="60">
        <f t="shared" si="13"/>
        <v>1.0068413793103448</v>
      </c>
      <c r="Q42" s="61">
        <f t="shared" si="14"/>
        <v>1.0319696703296704</v>
      </c>
      <c r="R42" s="85">
        <f t="shared" si="15"/>
        <v>0.48455830071443395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81"/>
      <c r="B43" s="124"/>
      <c r="C43" s="104" t="s">
        <v>98</v>
      </c>
      <c r="D43" s="105" t="s">
        <v>99</v>
      </c>
      <c r="E43" s="57">
        <v>127.01000000000001</v>
      </c>
      <c r="F43" s="58">
        <v>0</v>
      </c>
      <c r="G43" s="57">
        <v>0</v>
      </c>
      <c r="H43" s="58">
        <v>0</v>
      </c>
      <c r="I43" s="57">
        <v>4539.1700000000001</v>
      </c>
      <c r="J43" s="58">
        <v>774.42999999999995</v>
      </c>
      <c r="K43" s="57">
        <f t="shared" si="8"/>
        <v>4412.1599999999999</v>
      </c>
      <c r="L43" s="58">
        <f t="shared" si="9"/>
        <v>4539.1700000000001</v>
      </c>
      <c r="M43" s="57">
        <f t="shared" si="10"/>
        <v>4539.1700000000001</v>
      </c>
      <c r="N43" s="58">
        <f t="shared" si="11"/>
        <v>774.42999999999995</v>
      </c>
      <c r="O43" s="60">
        <f t="shared" si="12"/>
        <v>35.738681993543814</v>
      </c>
      <c r="P43" s="61" t="str">
        <f t="shared" si="13"/>
        <v/>
      </c>
      <c r="Q43" s="60" t="str">
        <f t="shared" si="14"/>
        <v/>
      </c>
      <c r="R43" s="85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81"/>
      <c r="B44" s="124"/>
      <c r="C44" s="55" t="s">
        <v>54</v>
      </c>
      <c r="D44" s="86" t="s">
        <v>55</v>
      </c>
      <c r="E44" s="58">
        <v>8361.9899999999998</v>
      </c>
      <c r="F44" s="57">
        <v>12977.999999999998</v>
      </c>
      <c r="G44" s="58">
        <v>6604</v>
      </c>
      <c r="H44" s="57">
        <v>0</v>
      </c>
      <c r="I44" s="58">
        <v>4835.5</v>
      </c>
      <c r="J44" s="57">
        <v>563.63</v>
      </c>
      <c r="K44" s="58">
        <f t="shared" si="8"/>
        <v>-3526.4899999999998</v>
      </c>
      <c r="L44" s="57">
        <f t="shared" si="9"/>
        <v>-1768.5</v>
      </c>
      <c r="M44" s="58">
        <f t="shared" si="10"/>
        <v>-8142.4999999999982</v>
      </c>
      <c r="N44" s="57">
        <f t="shared" si="11"/>
        <v>563.63</v>
      </c>
      <c r="O44" s="61">
        <f t="shared" si="12"/>
        <v>0.57827144017153809</v>
      </c>
      <c r="P44" s="60" t="str">
        <f t="shared" si="13"/>
        <v/>
      </c>
      <c r="Q44" s="61">
        <f t="shared" si="14"/>
        <v>0.7322077528770442</v>
      </c>
      <c r="R44" s="85">
        <f t="shared" si="15"/>
        <v>0.37259207890275858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81"/>
      <c r="B45" s="124"/>
      <c r="C45" s="63" t="s">
        <v>100</v>
      </c>
      <c r="D45" s="83" t="s">
        <v>101</v>
      </c>
      <c r="E45" s="57">
        <v>38752.519999999997</v>
      </c>
      <c r="F45" s="58">
        <v>68465.100000000006</v>
      </c>
      <c r="G45" s="57">
        <v>37916.5</v>
      </c>
      <c r="H45" s="58">
        <v>7411</v>
      </c>
      <c r="I45" s="57">
        <v>40125.909999999996</v>
      </c>
      <c r="J45" s="58">
        <v>4510.9200000000001</v>
      </c>
      <c r="K45" s="57">
        <f t="shared" si="8"/>
        <v>1373.3899999999994</v>
      </c>
      <c r="L45" s="58">
        <f t="shared" si="9"/>
        <v>2209.4099999999962</v>
      </c>
      <c r="M45" s="57">
        <f t="shared" si="10"/>
        <v>-28339.19000000001</v>
      </c>
      <c r="N45" s="58">
        <f t="shared" si="11"/>
        <v>-2900.0799999999999</v>
      </c>
      <c r="O45" s="60">
        <f t="shared" si="12"/>
        <v>1.0354400178362595</v>
      </c>
      <c r="P45" s="61">
        <f t="shared" si="13"/>
        <v>0.60867899068951559</v>
      </c>
      <c r="Q45" s="60">
        <f t="shared" si="14"/>
        <v>1.0582704099798239</v>
      </c>
      <c r="R45" s="85">
        <f t="shared" si="15"/>
        <v>0.58607830851046727</v>
      </c>
      <c r="S45" s="1"/>
      <c r="T45" s="1"/>
      <c r="U45" s="1"/>
      <c r="V45" s="1"/>
      <c r="W45" s="1"/>
      <c r="X45" s="1"/>
      <c r="Y45" s="1"/>
      <c r="Z45" s="1"/>
      <c r="AA45" s="1"/>
    </row>
    <row r="46" s="125" customFormat="1" ht="17.25">
      <c r="A46" s="88"/>
      <c r="B46" s="126"/>
      <c r="C46" s="127"/>
      <c r="D46" s="91" t="s">
        <v>56</v>
      </c>
      <c r="E46" s="128">
        <f>SUM(E34:E45)</f>
        <v>884042.88000000024</v>
      </c>
      <c r="F46" s="128">
        <f>SUM(F34:F45)</f>
        <v>947303.40000000014</v>
      </c>
      <c r="G46" s="128">
        <f>SUM(G34:G45)</f>
        <v>489247.59999999998</v>
      </c>
      <c r="H46" s="128">
        <f>SUM(H34:H45)</f>
        <v>84302.800000000003</v>
      </c>
      <c r="I46" s="128">
        <f>SUM(I34:I45)</f>
        <v>505853.57999999996</v>
      </c>
      <c r="J46" s="128">
        <f>SUM(J34:J45)</f>
        <v>27866.960000000006</v>
      </c>
      <c r="K46" s="128">
        <f>SUM(K34:K45)</f>
        <v>-378189.29999999999</v>
      </c>
      <c r="L46" s="128">
        <f t="shared" si="9"/>
        <v>16605.979999999981</v>
      </c>
      <c r="M46" s="128">
        <f>SUM(M34:M45)</f>
        <v>-441449.82000000001</v>
      </c>
      <c r="N46" s="128">
        <f>SUM(N34:N45)</f>
        <v>-56435.839999999997</v>
      </c>
      <c r="O46" s="93">
        <f t="shared" si="12"/>
        <v>0.57220480074450664</v>
      </c>
      <c r="P46" s="93">
        <f t="shared" si="13"/>
        <v>0.33055794113600029</v>
      </c>
      <c r="Q46" s="93">
        <f t="shared" si="14"/>
        <v>1.0339418731946768</v>
      </c>
      <c r="R46" s="94">
        <f t="shared" si="15"/>
        <v>0.53399320640039916</v>
      </c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</row>
    <row r="47" ht="17.25">
      <c r="A47" s="74" t="s">
        <v>102</v>
      </c>
      <c r="B47" s="75" t="s">
        <v>103</v>
      </c>
      <c r="C47" s="102" t="s">
        <v>104</v>
      </c>
      <c r="D47" s="83" t="s">
        <v>105</v>
      </c>
      <c r="E47" s="78">
        <v>327384.03999999998</v>
      </c>
      <c r="F47" s="58">
        <v>653882.09999999998</v>
      </c>
      <c r="G47" s="78">
        <v>366079.70000000001</v>
      </c>
      <c r="H47" s="58">
        <v>33957.099999999999</v>
      </c>
      <c r="I47" s="129">
        <v>328917.42999999999</v>
      </c>
      <c r="J47" s="130">
        <v>2757.4000000000001</v>
      </c>
      <c r="K47" s="78">
        <f t="shared" ref="K47:K78" si="16">I47-E47</f>
        <v>1533.390000000014</v>
      </c>
      <c r="L47" s="58">
        <f t="shared" si="9"/>
        <v>-37162.270000000019</v>
      </c>
      <c r="M47" s="78">
        <f t="shared" ref="M47:M78" si="17">I47-F47</f>
        <v>-324964.66999999998</v>
      </c>
      <c r="N47" s="58">
        <f t="shared" ref="N47:N78" si="18">J47-H47</f>
        <v>-31199.699999999997</v>
      </c>
      <c r="O47" s="79">
        <f t="shared" si="12"/>
        <v>1.0046837652806777</v>
      </c>
      <c r="P47" s="61">
        <f t="shared" si="13"/>
        <v>0.081202458396035002</v>
      </c>
      <c r="Q47" s="79">
        <f t="shared" si="14"/>
        <v>0.89848584884657623</v>
      </c>
      <c r="R47" s="80">
        <f t="shared" si="15"/>
        <v>0.5030225326553518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81"/>
      <c r="B48" s="82"/>
      <c r="C48" s="55" t="s">
        <v>106</v>
      </c>
      <c r="D48" s="86" t="s">
        <v>107</v>
      </c>
      <c r="E48" s="58">
        <v>225554.57000000001</v>
      </c>
      <c r="F48" s="57">
        <v>423200.79999999999</v>
      </c>
      <c r="G48" s="58">
        <v>250692.89999999999</v>
      </c>
      <c r="H48" s="57">
        <v>28516.599999999999</v>
      </c>
      <c r="I48" s="130">
        <v>248485.82000000001</v>
      </c>
      <c r="J48" s="131">
        <v>3866.6399999999999</v>
      </c>
      <c r="K48" s="58">
        <f t="shared" si="16"/>
        <v>22931.25</v>
      </c>
      <c r="L48" s="57">
        <f t="shared" si="9"/>
        <v>-2207.0799999999872</v>
      </c>
      <c r="M48" s="58">
        <f t="shared" si="17"/>
        <v>-174714.97999999998</v>
      </c>
      <c r="N48" s="57">
        <f t="shared" si="18"/>
        <v>-24649.959999999999</v>
      </c>
      <c r="O48" s="61">
        <f t="shared" si="12"/>
        <v>1.1016660846197885</v>
      </c>
      <c r="P48" s="60">
        <f t="shared" si="13"/>
        <v>0.13559260220362876</v>
      </c>
      <c r="Q48" s="61">
        <f t="shared" si="14"/>
        <v>0.99119608094206102</v>
      </c>
      <c r="R48" s="85">
        <f t="shared" si="15"/>
        <v>0.58715820007901687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81"/>
      <c r="B49" s="82"/>
      <c r="C49" s="63" t="s">
        <v>108</v>
      </c>
      <c r="D49" s="83" t="s">
        <v>109</v>
      </c>
      <c r="E49" s="57">
        <v>2237881.2999999998</v>
      </c>
      <c r="F49" s="58">
        <v>4515290.5999999996</v>
      </c>
      <c r="G49" s="57">
        <v>2510979.2999999998</v>
      </c>
      <c r="H49" s="57">
        <v>413246.70000000001</v>
      </c>
      <c r="I49" s="131">
        <v>2198827.0600000001</v>
      </c>
      <c r="J49" s="130">
        <v>147408.36000000002</v>
      </c>
      <c r="K49" s="57">
        <f t="shared" si="16"/>
        <v>-39054.239999999758</v>
      </c>
      <c r="L49" s="58">
        <f t="shared" si="9"/>
        <v>-312152.23999999976</v>
      </c>
      <c r="M49" s="57">
        <f t="shared" si="17"/>
        <v>-2316463.5399999996</v>
      </c>
      <c r="N49" s="59">
        <f t="shared" si="18"/>
        <v>-265838.33999999997</v>
      </c>
      <c r="O49" s="60">
        <f t="shared" si="12"/>
        <v>0.98254856501995891</v>
      </c>
      <c r="P49" s="61">
        <f t="shared" si="13"/>
        <v>0.35670789385613971</v>
      </c>
      <c r="Q49" s="60">
        <f t="shared" si="14"/>
        <v>0.87568506040651162</v>
      </c>
      <c r="R49" s="85">
        <f t="shared" si="15"/>
        <v>0.48697354274384913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81"/>
      <c r="B50" s="82"/>
      <c r="C50" s="55" t="s">
        <v>110</v>
      </c>
      <c r="D50" s="86" t="s">
        <v>111</v>
      </c>
      <c r="E50" s="58">
        <v>483.77999999999997</v>
      </c>
      <c r="F50" s="57">
        <v>4371.8000000000002</v>
      </c>
      <c r="G50" s="57">
        <v>2040</v>
      </c>
      <c r="H50" s="58">
        <v>467.5</v>
      </c>
      <c r="I50" s="131">
        <v>1565.73</v>
      </c>
      <c r="J50" s="131">
        <v>432.41999999999996</v>
      </c>
      <c r="K50" s="58">
        <f t="shared" si="16"/>
        <v>1081.95</v>
      </c>
      <c r="L50" s="57">
        <f t="shared" si="9"/>
        <v>-474.26999999999998</v>
      </c>
      <c r="M50" s="58">
        <f t="shared" si="17"/>
        <v>-2806.0700000000002</v>
      </c>
      <c r="N50" s="57">
        <f t="shared" si="18"/>
        <v>-35.080000000000041</v>
      </c>
      <c r="O50" s="61">
        <f t="shared" si="12"/>
        <v>3.236450452685105</v>
      </c>
      <c r="P50" s="60">
        <f t="shared" si="13"/>
        <v>0.92496256684491973</v>
      </c>
      <c r="Q50" s="61">
        <f t="shared" si="14"/>
        <v>0.76751470588235293</v>
      </c>
      <c r="R50" s="85">
        <f t="shared" si="15"/>
        <v>0.35814309895237656</v>
      </c>
      <c r="S50" s="1"/>
      <c r="T50" s="1"/>
      <c r="U50" s="1"/>
      <c r="V50" s="1"/>
      <c r="W50" s="1"/>
      <c r="X50" s="1"/>
      <c r="Y50" s="1"/>
      <c r="Z50" s="1"/>
      <c r="AA50" s="1"/>
    </row>
    <row r="51" s="87" customFormat="1" ht="17.25">
      <c r="A51" s="88"/>
      <c r="B51" s="89"/>
      <c r="C51" s="90"/>
      <c r="D51" s="91" t="s">
        <v>56</v>
      </c>
      <c r="E51" s="92">
        <f>SUM(E47:E50)</f>
        <v>2791303.6899999995</v>
      </c>
      <c r="F51" s="92">
        <f>SUM(F47:F50)</f>
        <v>5596745.2999999998</v>
      </c>
      <c r="G51" s="92">
        <f>SUM(G47:G50)</f>
        <v>3129791.8999999999</v>
      </c>
      <c r="H51" s="92">
        <f>SUM(H47:H50)</f>
        <v>476187.90000000002</v>
      </c>
      <c r="I51" s="92">
        <f>SUM(I47:I50)</f>
        <v>2777796.04</v>
      </c>
      <c r="J51" s="92">
        <f>SUM(J47:J50)</f>
        <v>154464.82000000004</v>
      </c>
      <c r="K51" s="92">
        <f t="shared" si="16"/>
        <v>-13507.649999999441</v>
      </c>
      <c r="L51" s="92">
        <f t="shared" si="9"/>
        <v>-351995.85999999987</v>
      </c>
      <c r="M51" s="92">
        <f t="shared" si="17"/>
        <v>-2818949.2599999998</v>
      </c>
      <c r="N51" s="92">
        <f t="shared" si="18"/>
        <v>-321723.07999999996</v>
      </c>
      <c r="O51" s="93">
        <f t="shared" si="12"/>
        <v>0.99516080960721276</v>
      </c>
      <c r="P51" s="93">
        <f t="shared" si="13"/>
        <v>0.32437787688431402</v>
      </c>
      <c r="Q51" s="93">
        <f t="shared" si="14"/>
        <v>0.88753378139933203</v>
      </c>
      <c r="R51" s="94">
        <f t="shared" si="15"/>
        <v>0.49632346857020637</v>
      </c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</row>
    <row r="52" ht="17.25">
      <c r="A52" s="95">
        <v>991</v>
      </c>
      <c r="B52" s="75" t="s">
        <v>112</v>
      </c>
      <c r="C52" s="106" t="s">
        <v>67</v>
      </c>
      <c r="D52" s="97" t="s">
        <v>113</v>
      </c>
      <c r="E52" s="58">
        <v>36365.5</v>
      </c>
      <c r="F52" s="78">
        <v>66470.800000000003</v>
      </c>
      <c r="G52" s="58">
        <v>37500</v>
      </c>
      <c r="H52" s="78">
        <v>5600</v>
      </c>
      <c r="I52" s="78">
        <v>38873.959999999999</v>
      </c>
      <c r="J52" s="58">
        <v>5817.1200000000008</v>
      </c>
      <c r="K52" s="78">
        <f t="shared" si="16"/>
        <v>2508.4599999999991</v>
      </c>
      <c r="L52" s="78">
        <f t="shared" si="9"/>
        <v>1373.9599999999991</v>
      </c>
      <c r="M52" s="58">
        <f t="shared" si="17"/>
        <v>-27596.840000000004</v>
      </c>
      <c r="N52" s="78">
        <f t="shared" si="18"/>
        <v>217.1200000000008</v>
      </c>
      <c r="O52" s="61">
        <f t="shared" si="12"/>
        <v>1.0689791148203653</v>
      </c>
      <c r="P52" s="79">
        <f t="shared" si="13"/>
        <v>1.0387714285714287</v>
      </c>
      <c r="Q52" s="61">
        <f t="shared" si="14"/>
        <v>1.0366389333333332</v>
      </c>
      <c r="R52" s="80">
        <f t="shared" si="15"/>
        <v>0.58482762355801343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98"/>
      <c r="B53" s="82"/>
      <c r="C53" s="63" t="s">
        <v>114</v>
      </c>
      <c r="D53" s="83" t="s">
        <v>115</v>
      </c>
      <c r="E53" s="57">
        <v>6179.6099999999997</v>
      </c>
      <c r="F53" s="58">
        <v>0</v>
      </c>
      <c r="G53" s="57">
        <v>0</v>
      </c>
      <c r="H53" s="58">
        <v>0</v>
      </c>
      <c r="I53" s="57">
        <v>2923.3400000000001</v>
      </c>
      <c r="J53" s="57">
        <v>1109.5</v>
      </c>
      <c r="K53" s="58">
        <f t="shared" si="16"/>
        <v>-3256.2699999999995</v>
      </c>
      <c r="L53" s="57">
        <f t="shared" si="9"/>
        <v>2923.3400000000001</v>
      </c>
      <c r="M53" s="57">
        <f t="shared" si="17"/>
        <v>2923.3400000000001</v>
      </c>
      <c r="N53" s="58">
        <f t="shared" si="18"/>
        <v>1109.5</v>
      </c>
      <c r="O53" s="60">
        <f t="shared" si="12"/>
        <v>0.47306221590035624</v>
      </c>
      <c r="P53" s="61" t="str">
        <f t="shared" si="13"/>
        <v/>
      </c>
      <c r="Q53" s="60" t="str">
        <f t="shared" si="14"/>
        <v/>
      </c>
      <c r="R53" s="85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87" customFormat="1" ht="17.25">
      <c r="A54" s="132"/>
      <c r="B54" s="89"/>
      <c r="C54" s="90"/>
      <c r="D54" s="91" t="s">
        <v>56</v>
      </c>
      <c r="E54" s="92">
        <f>SUM(E52:E53)</f>
        <v>42545.110000000001</v>
      </c>
      <c r="F54" s="92">
        <f>SUM(F52:F53)</f>
        <v>66470.800000000003</v>
      </c>
      <c r="G54" s="92">
        <f>SUM(G52:G53)</f>
        <v>37500</v>
      </c>
      <c r="H54" s="92">
        <f>SUM(H52:H53)</f>
        <v>5600</v>
      </c>
      <c r="I54" s="92">
        <f>SUM(I52:I53)</f>
        <v>41797.300000000003</v>
      </c>
      <c r="J54" s="92">
        <f>SUM(J52:J53)</f>
        <v>6926.6200000000008</v>
      </c>
      <c r="K54" s="92">
        <f t="shared" si="16"/>
        <v>-747.80999999999767</v>
      </c>
      <c r="L54" s="92">
        <f t="shared" si="9"/>
        <v>4297.3000000000029</v>
      </c>
      <c r="M54" s="92">
        <f t="shared" si="17"/>
        <v>-24673.5</v>
      </c>
      <c r="N54" s="92">
        <f t="shared" si="18"/>
        <v>1326.6200000000008</v>
      </c>
      <c r="O54" s="93">
        <f t="shared" si="12"/>
        <v>0.98242312688814304</v>
      </c>
      <c r="P54" s="93">
        <f t="shared" si="13"/>
        <v>1.2368964285714288</v>
      </c>
      <c r="Q54" s="93">
        <f t="shared" si="14"/>
        <v>1.1145946666666668</v>
      </c>
      <c r="R54" s="94">
        <f t="shared" si="15"/>
        <v>0.62880693477436711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</row>
    <row r="55" ht="17.25">
      <c r="A55" s="74" t="s">
        <v>116</v>
      </c>
      <c r="B55" s="75" t="s">
        <v>117</v>
      </c>
      <c r="C55" s="102" t="s">
        <v>118</v>
      </c>
      <c r="D55" s="83" t="s">
        <v>119</v>
      </c>
      <c r="E55" s="78">
        <v>21605.130000000001</v>
      </c>
      <c r="F55" s="58">
        <f>24461.7+26624.3</f>
        <v>51086</v>
      </c>
      <c r="G55" s="78">
        <f>17744.4+21500</f>
        <v>39244.400000000001</v>
      </c>
      <c r="H55" s="58">
        <f>5501.1+21500</f>
        <v>27001.099999999999</v>
      </c>
      <c r="I55" s="78">
        <v>48763.019999999997</v>
      </c>
      <c r="J55" s="58">
        <v>9428</v>
      </c>
      <c r="K55" s="78">
        <f t="shared" si="16"/>
        <v>27157.889999999996</v>
      </c>
      <c r="L55" s="78">
        <f t="shared" si="9"/>
        <v>9518.6199999999953</v>
      </c>
      <c r="M55" s="58">
        <f t="shared" si="17"/>
        <v>-2322.9800000000032</v>
      </c>
      <c r="N55" s="78">
        <f t="shared" si="18"/>
        <v>-17573.099999999999</v>
      </c>
      <c r="O55" s="133">
        <f t="shared" si="12"/>
        <v>2.2570111820664813</v>
      </c>
      <c r="P55" s="134">
        <f t="shared" si="13"/>
        <v>0.3491709597016418</v>
      </c>
      <c r="Q55" s="133">
        <f t="shared" si="14"/>
        <v>1.2425472169277654</v>
      </c>
      <c r="R55" s="80">
        <f t="shared" si="15"/>
        <v>0.9545280507379712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81"/>
      <c r="B56" s="82"/>
      <c r="C56" s="55" t="s">
        <v>120</v>
      </c>
      <c r="D56" s="86" t="s">
        <v>121</v>
      </c>
      <c r="E56" s="58">
        <v>30187.990000000002</v>
      </c>
      <c r="F56" s="57">
        <v>50550.300000000003</v>
      </c>
      <c r="G56" s="58">
        <v>11300</v>
      </c>
      <c r="H56" s="57">
        <v>4200</v>
      </c>
      <c r="I56" s="58">
        <v>64215.239999999998</v>
      </c>
      <c r="J56" s="57">
        <v>39888.07</v>
      </c>
      <c r="K56" s="58">
        <f t="shared" si="16"/>
        <v>34027.25</v>
      </c>
      <c r="L56" s="57">
        <f t="shared" si="9"/>
        <v>52915.239999999998</v>
      </c>
      <c r="M56" s="57">
        <f t="shared" si="17"/>
        <v>13664.939999999995</v>
      </c>
      <c r="N56" s="58">
        <f t="shared" si="18"/>
        <v>35688.07</v>
      </c>
      <c r="O56" s="135">
        <f t="shared" si="12"/>
        <v>2.1271783911416424</v>
      </c>
      <c r="P56" s="135">
        <f t="shared" si="13"/>
        <v>9.4971595238095237</v>
      </c>
      <c r="Q56" s="134">
        <f t="shared" si="14"/>
        <v>5.6827646017699109</v>
      </c>
      <c r="R56" s="85">
        <f t="shared" si="15"/>
        <v>1.2703236182574582</v>
      </c>
      <c r="S56" s="1"/>
      <c r="T56" s="1"/>
      <c r="U56" s="1"/>
      <c r="V56" s="1"/>
      <c r="W56" s="1"/>
      <c r="X56" s="1"/>
      <c r="Y56" s="1"/>
      <c r="Z56" s="1"/>
      <c r="AA56" s="1"/>
    </row>
    <row r="57" s="87" customFormat="1" ht="17.25">
      <c r="A57" s="88"/>
      <c r="B57" s="89"/>
      <c r="C57" s="90"/>
      <c r="D57" s="91" t="s">
        <v>56</v>
      </c>
      <c r="E57" s="92">
        <f>SUBTOTAL(9,E55:E56)</f>
        <v>51793.120000000003</v>
      </c>
      <c r="F57" s="92">
        <f>SUBTOTAL(9,F55:F56)</f>
        <v>101636.3</v>
      </c>
      <c r="G57" s="92">
        <f>SUBTOTAL(9,G55:G56)</f>
        <v>50544.400000000001</v>
      </c>
      <c r="H57" s="92">
        <f>SUBTOTAL(9,H55:H56)</f>
        <v>31201.099999999999</v>
      </c>
      <c r="I57" s="92">
        <f>SUBTOTAL(9,I55:I56)</f>
        <v>112978.25999999999</v>
      </c>
      <c r="J57" s="92">
        <f>SUBTOTAL(9,J55:J56)</f>
        <v>49316.07</v>
      </c>
      <c r="K57" s="92">
        <f t="shared" si="16"/>
        <v>61185.139999999992</v>
      </c>
      <c r="L57" s="92">
        <f t="shared" si="9"/>
        <v>62433.859999999993</v>
      </c>
      <c r="M57" s="92">
        <f t="shared" si="17"/>
        <v>11341.959999999992</v>
      </c>
      <c r="N57" s="92">
        <f t="shared" si="18"/>
        <v>18114.970000000001</v>
      </c>
      <c r="O57" s="93">
        <f t="shared" si="12"/>
        <v>2.1813372123556176</v>
      </c>
      <c r="P57" s="93">
        <f t="shared" si="13"/>
        <v>1.5805875433878935</v>
      </c>
      <c r="Q57" s="93">
        <f t="shared" si="14"/>
        <v>2.2352280371317099</v>
      </c>
      <c r="R57" s="94">
        <f t="shared" si="15"/>
        <v>1.1115935940210337</v>
      </c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</row>
    <row r="58" ht="17.25">
      <c r="A58" s="136"/>
      <c r="B58" s="123" t="s">
        <v>122</v>
      </c>
      <c r="C58" s="55" t="s">
        <v>123</v>
      </c>
      <c r="D58" s="137" t="s">
        <v>124</v>
      </c>
      <c r="E58" s="58">
        <v>214.31</v>
      </c>
      <c r="F58" s="78">
        <v>30.699999999999999</v>
      </c>
      <c r="G58" s="58">
        <v>30.699999999999999</v>
      </c>
      <c r="H58" s="78">
        <v>0</v>
      </c>
      <c r="I58" s="58">
        <v>2464.5500000000002</v>
      </c>
      <c r="J58" s="78">
        <v>248.24000000000001</v>
      </c>
      <c r="K58" s="58">
        <f t="shared" si="16"/>
        <v>2250.2400000000002</v>
      </c>
      <c r="L58" s="78">
        <f t="shared" si="9"/>
        <v>2433.8500000000004</v>
      </c>
      <c r="M58" s="58">
        <f t="shared" si="17"/>
        <v>2433.8500000000004</v>
      </c>
      <c r="N58" s="78">
        <f t="shared" si="18"/>
        <v>248.24000000000001</v>
      </c>
      <c r="O58" s="79">
        <f t="shared" si="12"/>
        <v>11.499930007932434</v>
      </c>
      <c r="P58" s="61" t="str">
        <f t="shared" si="13"/>
        <v/>
      </c>
      <c r="Q58" s="79">
        <f t="shared" si="14"/>
        <v>80.2785016286645</v>
      </c>
      <c r="R58" s="80">
        <f t="shared" si="15"/>
        <v>80.2785016286645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98"/>
      <c r="B59" s="124"/>
      <c r="C59" s="63" t="s">
        <v>88</v>
      </c>
      <c r="D59" s="83" t="s">
        <v>125</v>
      </c>
      <c r="E59" s="57">
        <v>639.22000000000003</v>
      </c>
      <c r="F59" s="59">
        <v>26</v>
      </c>
      <c r="G59" s="84">
        <v>26</v>
      </c>
      <c r="H59" s="59">
        <v>0</v>
      </c>
      <c r="I59" s="57">
        <v>1650.6599999999999</v>
      </c>
      <c r="J59" s="58">
        <v>110.81999999999999</v>
      </c>
      <c r="K59" s="57">
        <f t="shared" si="16"/>
        <v>1011.4399999999998</v>
      </c>
      <c r="L59" s="58">
        <f t="shared" si="9"/>
        <v>1624.6599999999999</v>
      </c>
      <c r="M59" s="57">
        <f t="shared" si="17"/>
        <v>1624.6599999999999</v>
      </c>
      <c r="N59" s="58">
        <f t="shared" si="18"/>
        <v>110.81999999999999</v>
      </c>
      <c r="O59" s="60">
        <f t="shared" si="12"/>
        <v>2.5823034323081253</v>
      </c>
      <c r="P59" s="60" t="str">
        <f t="shared" si="13"/>
        <v/>
      </c>
      <c r="Q59" s="61">
        <f t="shared" si="14"/>
        <v>63.48692307692307</v>
      </c>
      <c r="R59" s="138">
        <f t="shared" si="15"/>
        <v>63.48692307692307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98"/>
      <c r="B60" s="124"/>
      <c r="C60" s="55" t="s">
        <v>52</v>
      </c>
      <c r="D60" s="86" t="s">
        <v>53</v>
      </c>
      <c r="E60" s="58">
        <v>352.19999999999999</v>
      </c>
      <c r="F60" s="57">
        <v>371</v>
      </c>
      <c r="G60" s="58">
        <v>371</v>
      </c>
      <c r="H60" s="57">
        <v>0</v>
      </c>
      <c r="I60" s="58">
        <v>0</v>
      </c>
      <c r="J60" s="57">
        <v>0</v>
      </c>
      <c r="K60" s="58">
        <f t="shared" si="16"/>
        <v>-352.19999999999999</v>
      </c>
      <c r="L60" s="57">
        <f t="shared" si="9"/>
        <v>-371</v>
      </c>
      <c r="M60" s="58">
        <f t="shared" si="17"/>
        <v>-371</v>
      </c>
      <c r="N60" s="57">
        <f t="shared" si="18"/>
        <v>0</v>
      </c>
      <c r="O60" s="61">
        <f t="shared" si="12"/>
        <v>0</v>
      </c>
      <c r="P60" s="60" t="str">
        <f t="shared" si="13"/>
        <v/>
      </c>
      <c r="Q60" s="60">
        <f t="shared" si="14"/>
        <v>0</v>
      </c>
      <c r="R60" s="85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98"/>
      <c r="B61" s="124"/>
      <c r="C61" s="63" t="s">
        <v>126</v>
      </c>
      <c r="D61" s="83" t="s">
        <v>127</v>
      </c>
      <c r="E61" s="57">
        <v>54845.699999999997</v>
      </c>
      <c r="F61" s="58">
        <f>8722.7+46498.4</f>
        <v>55221.100000000006</v>
      </c>
      <c r="G61" s="57">
        <f>2361.2+32411.6+4355</f>
        <v>39127.799999999996</v>
      </c>
      <c r="H61" s="58">
        <f>1171.7+32411.6+4355</f>
        <v>37938.299999999996</v>
      </c>
      <c r="I61" s="57">
        <v>53214.470000000001</v>
      </c>
      <c r="J61" s="58">
        <v>3253.2599999999998</v>
      </c>
      <c r="K61" s="57">
        <f t="shared" si="16"/>
        <v>-1631.2299999999959</v>
      </c>
      <c r="L61" s="58">
        <f t="shared" si="9"/>
        <v>14086.670000000006</v>
      </c>
      <c r="M61" s="57">
        <f t="shared" si="17"/>
        <v>-2006.6300000000047</v>
      </c>
      <c r="N61" s="58">
        <f t="shared" si="18"/>
        <v>-34685.039999999994</v>
      </c>
      <c r="O61" s="60">
        <f t="shared" si="12"/>
        <v>0.9702578324280664</v>
      </c>
      <c r="P61" s="61">
        <f t="shared" si="13"/>
        <v>0.085751338357280119</v>
      </c>
      <c r="Q61" s="60">
        <f t="shared" si="14"/>
        <v>1.3600169189169851</v>
      </c>
      <c r="R61" s="85">
        <f t="shared" si="15"/>
        <v>0.96366189735445318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98"/>
      <c r="B62" s="124"/>
      <c r="C62" s="55" t="s">
        <v>54</v>
      </c>
      <c r="D62" s="86" t="s">
        <v>55</v>
      </c>
      <c r="E62" s="58">
        <v>76717.179999999993</v>
      </c>
      <c r="F62" s="57">
        <f>103985.4+109296.2</f>
        <v>213281.59999999998</v>
      </c>
      <c r="G62" s="58">
        <f>55483+18215.1</f>
        <v>73698.100000000006</v>
      </c>
      <c r="H62" s="57">
        <f>9966.2+18215.1</f>
        <v>28181.299999999999</v>
      </c>
      <c r="I62" s="58">
        <v>107761.15000000001</v>
      </c>
      <c r="J62" s="57">
        <v>12919.92</v>
      </c>
      <c r="K62" s="58">
        <f t="shared" si="16"/>
        <v>31043.970000000016</v>
      </c>
      <c r="L62" s="57">
        <f t="shared" si="9"/>
        <v>34063.050000000003</v>
      </c>
      <c r="M62" s="58">
        <f t="shared" si="17"/>
        <v>-105520.44999999997</v>
      </c>
      <c r="N62" s="57">
        <f t="shared" si="18"/>
        <v>-15261.379999999999</v>
      </c>
      <c r="O62" s="61">
        <f t="shared" si="12"/>
        <v>1.4046547331380015</v>
      </c>
      <c r="P62" s="60">
        <f t="shared" si="13"/>
        <v>0.45845720389052314</v>
      </c>
      <c r="Q62" s="61">
        <f t="shared" si="14"/>
        <v>1.4621971258417787</v>
      </c>
      <c r="R62" s="85">
        <f t="shared" si="15"/>
        <v>0.50525291445675591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98"/>
      <c r="B63" s="124"/>
      <c r="C63" s="63" t="s">
        <v>128</v>
      </c>
      <c r="D63" s="83" t="s">
        <v>129</v>
      </c>
      <c r="E63" s="57">
        <v>-99.909999999999997</v>
      </c>
      <c r="F63" s="58">
        <v>0</v>
      </c>
      <c r="G63" s="57">
        <v>0</v>
      </c>
      <c r="H63" s="58">
        <v>0</v>
      </c>
      <c r="I63" s="57">
        <v>493.50000000000045</v>
      </c>
      <c r="J63" s="58">
        <v>350.44000000000051</v>
      </c>
      <c r="K63" s="57">
        <f t="shared" si="16"/>
        <v>593.41000000000042</v>
      </c>
      <c r="L63" s="58">
        <f t="shared" si="9"/>
        <v>493.50000000000045</v>
      </c>
      <c r="M63" s="57">
        <f t="shared" si="17"/>
        <v>493.50000000000045</v>
      </c>
      <c r="N63" s="58">
        <f t="shared" si="18"/>
        <v>350.44000000000051</v>
      </c>
      <c r="O63" s="60">
        <f t="shared" si="12"/>
        <v>-4.9394455009508604</v>
      </c>
      <c r="P63" s="61" t="str">
        <f t="shared" si="13"/>
        <v/>
      </c>
      <c r="Q63" s="60" t="str">
        <f t="shared" si="14"/>
        <v/>
      </c>
      <c r="R63" s="85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98"/>
      <c r="B64" s="124"/>
      <c r="C64" s="55" t="s">
        <v>130</v>
      </c>
      <c r="D64" s="86" t="s">
        <v>131</v>
      </c>
      <c r="E64" s="58">
        <v>783.08000000000004</v>
      </c>
      <c r="F64" s="57">
        <v>38614.970000000001</v>
      </c>
      <c r="G64" s="58">
        <v>38614.970000000001</v>
      </c>
      <c r="H64" s="57">
        <v>38614.970000000001</v>
      </c>
      <c r="I64" s="58">
        <v>40308.269999999997</v>
      </c>
      <c r="J64" s="57">
        <v>876.59000000000003</v>
      </c>
      <c r="K64" s="58">
        <f t="shared" si="16"/>
        <v>39525.189999999995</v>
      </c>
      <c r="L64" s="57">
        <f t="shared" si="9"/>
        <v>1693.2999999999956</v>
      </c>
      <c r="M64" s="58">
        <f t="shared" si="17"/>
        <v>1693.2999999999956</v>
      </c>
      <c r="N64" s="57">
        <f t="shared" si="18"/>
        <v>-37738.380000000005</v>
      </c>
      <c r="O64" s="61">
        <f t="shared" si="12"/>
        <v>51.474012872248039</v>
      </c>
      <c r="P64" s="60">
        <f t="shared" si="13"/>
        <v>0.022700781588073225</v>
      </c>
      <c r="Q64" s="61">
        <f t="shared" si="14"/>
        <v>1.0438508692354285</v>
      </c>
      <c r="R64" s="85">
        <f t="shared" si="15"/>
        <v>1.0438508692354285</v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98"/>
      <c r="B65" s="124"/>
      <c r="C65" s="63" t="s">
        <v>132</v>
      </c>
      <c r="D65" s="83" t="s">
        <v>133</v>
      </c>
      <c r="E65" s="57">
        <v>619.54999999999995</v>
      </c>
      <c r="F65" s="58">
        <v>0</v>
      </c>
      <c r="G65" s="57">
        <v>0</v>
      </c>
      <c r="H65" s="58">
        <v>0</v>
      </c>
      <c r="I65" s="57">
        <v>5852.1199999999999</v>
      </c>
      <c r="J65" s="58">
        <v>0</v>
      </c>
      <c r="K65" s="57">
        <f t="shared" si="16"/>
        <v>5232.5699999999997</v>
      </c>
      <c r="L65" s="58">
        <f t="shared" si="9"/>
        <v>5852.1199999999999</v>
      </c>
      <c r="M65" s="57">
        <f t="shared" si="17"/>
        <v>5852.1199999999999</v>
      </c>
      <c r="N65" s="58">
        <f t="shared" si="18"/>
        <v>0</v>
      </c>
      <c r="O65" s="60">
        <f t="shared" si="12"/>
        <v>9.4457590186425637</v>
      </c>
      <c r="P65" s="61" t="str">
        <f t="shared" si="13"/>
        <v/>
      </c>
      <c r="Q65" s="60" t="str">
        <f t="shared" si="14"/>
        <v/>
      </c>
      <c r="R65" s="85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87" customFormat="1" ht="15">
      <c r="A66" s="132"/>
      <c r="B66" s="139"/>
      <c r="C66" s="90"/>
      <c r="D66" s="91" t="s">
        <v>56</v>
      </c>
      <c r="E66" s="92">
        <f>SUM(E58:E65)</f>
        <v>134071.32999999996</v>
      </c>
      <c r="F66" s="92">
        <f>SUM(F58:F65)</f>
        <v>307545.37</v>
      </c>
      <c r="G66" s="92">
        <f>SUM(G58:G65)</f>
        <v>151868.57000000001</v>
      </c>
      <c r="H66" s="92">
        <f>SUM(H58:H65)</f>
        <v>104734.56999999999</v>
      </c>
      <c r="I66" s="92">
        <f>SUM(I58:I65)</f>
        <v>211744.72</v>
      </c>
      <c r="J66" s="92">
        <f>SUM(J58:J65)</f>
        <v>17759.27</v>
      </c>
      <c r="K66" s="92">
        <f t="shared" si="16"/>
        <v>77673.390000000043</v>
      </c>
      <c r="L66" s="92">
        <f t="shared" si="9"/>
        <v>59876.149999999994</v>
      </c>
      <c r="M66" s="92">
        <f t="shared" si="17"/>
        <v>-95800.649999999994</v>
      </c>
      <c r="N66" s="92">
        <f t="shared" si="18"/>
        <v>-86975.299999999988</v>
      </c>
      <c r="O66" s="93">
        <f t="shared" si="12"/>
        <v>1.5793437717071954</v>
      </c>
      <c r="P66" s="93">
        <f t="shared" si="13"/>
        <v>0.16956454778971261</v>
      </c>
      <c r="Q66" s="93">
        <f t="shared" si="14"/>
        <v>1.3942629472312802</v>
      </c>
      <c r="R66" s="94">
        <f t="shared" si="15"/>
        <v>0.6884991310387798</v>
      </c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</row>
    <row r="67" s="44" customFormat="1" ht="42" customHeight="1">
      <c r="A67" s="140"/>
      <c r="B67" s="141" t="s">
        <v>134</v>
      </c>
      <c r="C67" s="142"/>
      <c r="D67" s="143"/>
      <c r="E67" s="144">
        <f>E5+E17</f>
        <v>14916915.062089553</v>
      </c>
      <c r="F67" s="144">
        <f>F5+F17</f>
        <v>35893709.970000006</v>
      </c>
      <c r="G67" s="144">
        <f>G5+G17</f>
        <v>18297066.370000001</v>
      </c>
      <c r="H67" s="144">
        <f>H5+H17</f>
        <v>4654745.3700000001</v>
      </c>
      <c r="I67" s="144">
        <f>I5+I17</f>
        <v>15735366.440000001</v>
      </c>
      <c r="J67" s="144">
        <f>J5+J17</f>
        <v>1767926.8900000001</v>
      </c>
      <c r="K67" s="144">
        <f t="shared" si="16"/>
        <v>818451.37791044824</v>
      </c>
      <c r="L67" s="144">
        <f t="shared" si="9"/>
        <v>-2561699.9299999997</v>
      </c>
      <c r="M67" s="144">
        <f t="shared" si="17"/>
        <v>-20158343.530000005</v>
      </c>
      <c r="N67" s="144">
        <f t="shared" si="18"/>
        <v>-2886818.48</v>
      </c>
      <c r="O67" s="145">
        <f t="shared" si="12"/>
        <v>1.054867335136237</v>
      </c>
      <c r="P67" s="145">
        <f t="shared" si="13"/>
        <v>0.37981172963710369</v>
      </c>
      <c r="Q67" s="145">
        <f t="shared" si="14"/>
        <v>0.85999395322737737</v>
      </c>
      <c r="R67" s="146">
        <f t="shared" si="15"/>
        <v>0.43838785272270919</v>
      </c>
      <c r="S67" s="44"/>
      <c r="T67" s="44"/>
      <c r="U67" s="44"/>
      <c r="V67" s="44"/>
      <c r="W67" s="44"/>
      <c r="X67" s="44"/>
      <c r="Y67" s="44"/>
      <c r="Z67" s="44"/>
      <c r="AA67" s="44"/>
    </row>
    <row r="68" s="44" customFormat="1" ht="21.75" customHeight="1">
      <c r="A68" s="147"/>
      <c r="B68" s="148" t="s">
        <v>135</v>
      </c>
      <c r="C68" s="149"/>
      <c r="D68" s="150"/>
      <c r="E68" s="151">
        <f>SUM(E69:E77)</f>
        <v>15311941.33</v>
      </c>
      <c r="F68" s="152">
        <f>SUM(F69:F77)</f>
        <v>26323476.939999998</v>
      </c>
      <c r="G68" s="151">
        <f>SUM(G69:G77)</f>
        <v>14483053.469999997</v>
      </c>
      <c r="H68" s="152">
        <f>SUM(H69:H77)</f>
        <v>1623234.4100000001</v>
      </c>
      <c r="I68" s="151">
        <f>SUM(I69:I77)</f>
        <v>14402034.989999998</v>
      </c>
      <c r="J68" s="152">
        <f>SUM(J69:J77)</f>
        <v>1509903.1599999999</v>
      </c>
      <c r="K68" s="151">
        <f t="shared" si="16"/>
        <v>-909906.34000000171</v>
      </c>
      <c r="L68" s="152">
        <f t="shared" si="9"/>
        <v>-81018.479999998584</v>
      </c>
      <c r="M68" s="151">
        <f t="shared" si="17"/>
        <v>-11921441.949999999</v>
      </c>
      <c r="N68" s="152">
        <f t="shared" si="18"/>
        <v>-113331.25000000023</v>
      </c>
      <c r="O68" s="51">
        <f t="shared" si="12"/>
        <v>0.94057537706095684</v>
      </c>
      <c r="P68" s="153">
        <f t="shared" si="13"/>
        <v>0.93018183368845653</v>
      </c>
      <c r="Q68" s="51">
        <f t="shared" si="14"/>
        <v>0.99440598074378317</v>
      </c>
      <c r="R68" s="154">
        <f t="shared" si="15"/>
        <v>0.54711750361956557</v>
      </c>
      <c r="S68" s="44"/>
      <c r="T68" s="44"/>
      <c r="U68" s="44"/>
      <c r="V68" s="44"/>
      <c r="W68" s="44"/>
      <c r="X68" s="44"/>
      <c r="Y68" s="44"/>
      <c r="Z68" s="44"/>
      <c r="AA68" s="44"/>
    </row>
    <row r="69" ht="22.5">
      <c r="A69" s="53"/>
      <c r="B69" s="155"/>
      <c r="C69" s="63" t="s">
        <v>136</v>
      </c>
      <c r="D69" s="156" t="s">
        <v>137</v>
      </c>
      <c r="E69" s="57">
        <v>217715.60000000001</v>
      </c>
      <c r="F69" s="58">
        <f>415518.3+34014.9</f>
        <v>449533.20000000001</v>
      </c>
      <c r="G69" s="57">
        <f>265314.7+34014.9</f>
        <v>299329.60000000003</v>
      </c>
      <c r="H69" s="58">
        <v>34014.900000000001</v>
      </c>
      <c r="I69" s="57">
        <v>299329.59999999998</v>
      </c>
      <c r="J69" s="58">
        <v>0</v>
      </c>
      <c r="K69" s="57">
        <f t="shared" si="16"/>
        <v>81613.999999999971</v>
      </c>
      <c r="L69" s="58">
        <f t="shared" si="9"/>
        <v>-5.8207660913467407e-11</v>
      </c>
      <c r="M69" s="57">
        <f t="shared" si="17"/>
        <v>-150203.60000000003</v>
      </c>
      <c r="N69" s="58">
        <f t="shared" si="18"/>
        <v>-34014.900000000001</v>
      </c>
      <c r="O69" s="60">
        <f t="shared" si="12"/>
        <v>1.3748651911025207</v>
      </c>
      <c r="P69" s="61">
        <f t="shared" si="13"/>
        <v>0</v>
      </c>
      <c r="Q69" s="60">
        <f t="shared" si="14"/>
        <v>0.99999999999999978</v>
      </c>
      <c r="R69" s="60">
        <f t="shared" si="15"/>
        <v>0.66586761556209861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62"/>
      <c r="B70" s="157"/>
      <c r="C70" s="55" t="s">
        <v>138</v>
      </c>
      <c r="D70" s="158" t="s">
        <v>139</v>
      </c>
      <c r="E70" s="58">
        <v>3342524.3100000001</v>
      </c>
      <c r="F70" s="57">
        <v>6681476.2000000002</v>
      </c>
      <c r="G70" s="58">
        <v>1873399.26</v>
      </c>
      <c r="H70" s="57">
        <v>344714.16999999998</v>
      </c>
      <c r="I70" s="58">
        <v>1873399.26</v>
      </c>
      <c r="J70" s="57">
        <v>344714.16999999998</v>
      </c>
      <c r="K70" s="58">
        <f t="shared" si="16"/>
        <v>-1469125.05</v>
      </c>
      <c r="L70" s="57">
        <f t="shared" si="9"/>
        <v>0</v>
      </c>
      <c r="M70" s="58">
        <f t="shared" si="17"/>
        <v>-4808076.9400000004</v>
      </c>
      <c r="N70" s="57">
        <f t="shared" si="18"/>
        <v>0</v>
      </c>
      <c r="O70" s="61">
        <f t="shared" si="12"/>
        <v>0.56047438589908116</v>
      </c>
      <c r="P70" s="60">
        <f t="shared" si="13"/>
        <v>1</v>
      </c>
      <c r="Q70" s="61">
        <f t="shared" si="14"/>
        <v>1</v>
      </c>
      <c r="R70" s="60">
        <f t="shared" si="15"/>
        <v>0.28038702884251837</v>
      </c>
      <c r="S70" s="1"/>
      <c r="T70" s="1"/>
      <c r="U70" s="1"/>
      <c r="V70" s="1"/>
      <c r="W70" s="1"/>
      <c r="X70" s="1"/>
      <c r="Y70" s="1"/>
      <c r="Z70" s="1"/>
      <c r="AA70" s="1"/>
    </row>
    <row r="71" ht="16.5" customHeight="1">
      <c r="A71" s="62"/>
      <c r="B71" s="157"/>
      <c r="C71" s="63" t="s">
        <v>140</v>
      </c>
      <c r="D71" s="156" t="s">
        <v>141</v>
      </c>
      <c r="E71" s="57">
        <v>8431396.7599999998</v>
      </c>
      <c r="F71" s="58">
        <v>15931150.829999998</v>
      </c>
      <c r="G71" s="57">
        <v>10046185.619999999</v>
      </c>
      <c r="H71" s="58">
        <v>1143678.51</v>
      </c>
      <c r="I71" s="57">
        <v>10046185.619999999</v>
      </c>
      <c r="J71" s="59">
        <v>1143678.51</v>
      </c>
      <c r="K71" s="57">
        <f t="shared" si="16"/>
        <v>1614788.8599999994</v>
      </c>
      <c r="L71" s="58">
        <f t="shared" si="9"/>
        <v>0</v>
      </c>
      <c r="M71" s="57">
        <f t="shared" si="17"/>
        <v>-5884965.209999999</v>
      </c>
      <c r="N71" s="58">
        <f t="shared" si="18"/>
        <v>0</v>
      </c>
      <c r="O71" s="60">
        <f t="shared" si="12"/>
        <v>1.1915209194828591</v>
      </c>
      <c r="P71" s="61">
        <f t="shared" si="13"/>
        <v>1</v>
      </c>
      <c r="Q71" s="60">
        <f t="shared" si="14"/>
        <v>1</v>
      </c>
      <c r="R71" s="60">
        <f t="shared" si="15"/>
        <v>0.63060011967760654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62"/>
      <c r="B72" s="157"/>
      <c r="C72" s="55" t="s">
        <v>142</v>
      </c>
      <c r="D72" s="159" t="s">
        <v>143</v>
      </c>
      <c r="E72" s="58">
        <v>2432622.5499999998</v>
      </c>
      <c r="F72" s="57">
        <v>3209835.8199999998</v>
      </c>
      <c r="G72" s="58">
        <f>2212658.1</f>
        <v>2212658.1000000001</v>
      </c>
      <c r="H72" s="57">
        <f>55990.54</f>
        <v>55990.540000000001</v>
      </c>
      <c r="I72" s="58">
        <v>2175688.2599999998</v>
      </c>
      <c r="J72" s="57">
        <v>22694.860000000001</v>
      </c>
      <c r="K72" s="58">
        <f t="shared" si="16"/>
        <v>-256934.29000000004</v>
      </c>
      <c r="L72" s="57">
        <f t="shared" si="9"/>
        <v>-36969.840000000317</v>
      </c>
      <c r="M72" s="58">
        <f t="shared" si="17"/>
        <v>-1034147.5600000001</v>
      </c>
      <c r="N72" s="57">
        <f t="shared" si="18"/>
        <v>-33295.68</v>
      </c>
      <c r="O72" s="61">
        <f t="shared" si="12"/>
        <v>0.89437971377844872</v>
      </c>
      <c r="P72" s="60">
        <f t="shared" si="13"/>
        <v>0.40533382960764441</v>
      </c>
      <c r="Q72" s="61">
        <f t="shared" si="14"/>
        <v>0.98329166173481553</v>
      </c>
      <c r="R72" s="60">
        <f t="shared" si="15"/>
        <v>0.67781917269525638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62"/>
      <c r="B73" s="157"/>
      <c r="C73" s="63" t="s">
        <v>144</v>
      </c>
      <c r="D73" s="160" t="s">
        <v>145</v>
      </c>
      <c r="E73" s="57">
        <v>446.22000000000003</v>
      </c>
      <c r="F73" s="58">
        <v>0</v>
      </c>
      <c r="G73" s="57">
        <v>0</v>
      </c>
      <c r="H73" s="58">
        <v>0</v>
      </c>
      <c r="I73" s="57">
        <v>7534.4099999999999</v>
      </c>
      <c r="J73" s="58">
        <v>370</v>
      </c>
      <c r="K73" s="57">
        <f t="shared" si="16"/>
        <v>7088.1899999999996</v>
      </c>
      <c r="L73" s="58">
        <f t="shared" si="9"/>
        <v>7534.4099999999999</v>
      </c>
      <c r="M73" s="57">
        <f t="shared" si="17"/>
        <v>7534.4099999999999</v>
      </c>
      <c r="N73" s="58">
        <f t="shared" si="18"/>
        <v>370</v>
      </c>
      <c r="O73" s="161">
        <f t="shared" si="12"/>
        <v>16.884967056608847</v>
      </c>
      <c r="P73" s="61" t="str">
        <f t="shared" si="13"/>
        <v/>
      </c>
      <c r="Q73" s="60" t="str">
        <f t="shared" si="14"/>
        <v/>
      </c>
      <c r="R73" s="60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62"/>
      <c r="B74" s="157"/>
      <c r="C74" s="55" t="s">
        <v>146</v>
      </c>
      <c r="D74" s="159" t="s">
        <v>147</v>
      </c>
      <c r="E74" s="57">
        <v>931777.56999999995</v>
      </c>
      <c r="F74" s="57">
        <v>44836.290000000001</v>
      </c>
      <c r="G74" s="57">
        <v>44836.290000000001</v>
      </c>
      <c r="H74" s="57">
        <v>44836.290000000001</v>
      </c>
      <c r="I74" s="57">
        <v>44836.290000000001</v>
      </c>
      <c r="J74" s="57">
        <v>0</v>
      </c>
      <c r="K74" s="57">
        <f t="shared" si="16"/>
        <v>-886941.27999999991</v>
      </c>
      <c r="L74" s="57">
        <f t="shared" ref="L74:L78" si="19">I74-G74</f>
        <v>0</v>
      </c>
      <c r="M74" s="57">
        <f t="shared" si="17"/>
        <v>0</v>
      </c>
      <c r="N74" s="57">
        <f t="shared" si="18"/>
        <v>-44836.290000000001</v>
      </c>
      <c r="O74" s="60">
        <f t="shared" ref="O74:O78" si="20">IFERROR(I74/E74,"")</f>
        <v>0.048119091340651184</v>
      </c>
      <c r="P74" s="60">
        <f t="shared" ref="P74:P78" si="21">IFERROR(J74/H74,"")</f>
        <v>0</v>
      </c>
      <c r="Q74" s="60">
        <f t="shared" ref="Q74:Q78" si="22">IFERROR(I74/G74,"")</f>
        <v>1</v>
      </c>
      <c r="R74" s="60">
        <f t="shared" ref="R74:R78" si="23">IFERROR(I74/F74,"")</f>
        <v>1</v>
      </c>
      <c r="S74" s="1"/>
      <c r="T74" s="1"/>
      <c r="U74" s="1"/>
      <c r="V74" s="1"/>
      <c r="W74" s="1"/>
      <c r="X74" s="1"/>
      <c r="Y74" s="1"/>
      <c r="Z74" s="1"/>
      <c r="AA74" s="1"/>
    </row>
    <row r="75" ht="30" hidden="1" customHeight="1">
      <c r="A75" s="45"/>
      <c r="B75" s="157"/>
      <c r="C75" s="63" t="s">
        <v>148</v>
      </c>
      <c r="D75" s="162" t="s">
        <v>149</v>
      </c>
      <c r="E75" s="65"/>
      <c r="F75" s="66">
        <v>0</v>
      </c>
      <c r="G75" s="65">
        <v>0</v>
      </c>
      <c r="H75" s="66">
        <v>0</v>
      </c>
      <c r="I75" s="65">
        <v>0</v>
      </c>
      <c r="J75" s="66">
        <v>0</v>
      </c>
      <c r="K75" s="65">
        <f t="shared" si="16"/>
        <v>0</v>
      </c>
      <c r="L75" s="66">
        <f t="shared" si="19"/>
        <v>0</v>
      </c>
      <c r="M75" s="65">
        <f t="shared" si="17"/>
        <v>0</v>
      </c>
      <c r="N75" s="66">
        <f t="shared" si="18"/>
        <v>0</v>
      </c>
      <c r="O75" s="163" t="str">
        <f t="shared" si="20"/>
        <v/>
      </c>
      <c r="P75" s="61" t="str">
        <f t="shared" si="21"/>
        <v/>
      </c>
      <c r="Q75" s="60" t="str">
        <f t="shared" si="22"/>
        <v/>
      </c>
      <c r="R75" s="60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62"/>
      <c r="B76" s="157"/>
      <c r="C76" s="55" t="s">
        <v>150</v>
      </c>
      <c r="D76" s="164" t="s">
        <v>151</v>
      </c>
      <c r="E76" s="58">
        <v>83342.729999999996</v>
      </c>
      <c r="F76" s="57">
        <v>6644.5999999999995</v>
      </c>
      <c r="G76" s="165">
        <v>6644.5999999999995</v>
      </c>
      <c r="H76" s="57">
        <v>0</v>
      </c>
      <c r="I76" s="58">
        <v>27620.330000000002</v>
      </c>
      <c r="J76" s="57">
        <v>1068.1600000000001</v>
      </c>
      <c r="K76" s="58">
        <f t="shared" si="16"/>
        <v>-55722.399999999994</v>
      </c>
      <c r="L76" s="57">
        <f t="shared" si="19"/>
        <v>20975.730000000003</v>
      </c>
      <c r="M76" s="58">
        <f t="shared" si="17"/>
        <v>20975.730000000003</v>
      </c>
      <c r="N76" s="57">
        <f t="shared" si="18"/>
        <v>1068.1600000000001</v>
      </c>
      <c r="O76" s="61">
        <f t="shared" si="20"/>
        <v>0.33140659059284477</v>
      </c>
      <c r="P76" s="60" t="str">
        <f t="shared" si="21"/>
        <v/>
      </c>
      <c r="Q76" s="61">
        <f t="shared" si="22"/>
        <v>4.1568085362550047</v>
      </c>
      <c r="R76" s="60">
        <f t="shared" si="23"/>
        <v>4.1568085362550047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62"/>
      <c r="B77" s="157"/>
      <c r="C77" s="63" t="s">
        <v>152</v>
      </c>
      <c r="D77" s="166" t="s">
        <v>153</v>
      </c>
      <c r="E77" s="57">
        <v>-127884.41</v>
      </c>
      <c r="F77" s="58">
        <v>0</v>
      </c>
      <c r="G77" s="57">
        <v>0</v>
      </c>
      <c r="H77" s="58">
        <v>0</v>
      </c>
      <c r="I77" s="57">
        <v>-72558.779999999999</v>
      </c>
      <c r="J77" s="58">
        <v>-2622.54</v>
      </c>
      <c r="K77" s="57">
        <f t="shared" si="16"/>
        <v>55325.630000000005</v>
      </c>
      <c r="L77" s="58">
        <f t="shared" si="19"/>
        <v>-72558.779999999999</v>
      </c>
      <c r="M77" s="57">
        <f t="shared" si="17"/>
        <v>-72558.779999999999</v>
      </c>
      <c r="N77" s="58">
        <f t="shared" si="18"/>
        <v>-2622.54</v>
      </c>
      <c r="O77" s="60">
        <f t="shared" si="20"/>
        <v>0.56737783753312854</v>
      </c>
      <c r="P77" s="61" t="str">
        <f t="shared" si="21"/>
        <v/>
      </c>
      <c r="Q77" s="60" t="str">
        <f t="shared" si="22"/>
        <v/>
      </c>
      <c r="R77" s="60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44" customFormat="1" ht="28.5" customHeight="1">
      <c r="A78" s="167"/>
      <c r="B78" s="141" t="s">
        <v>154</v>
      </c>
      <c r="C78" s="142"/>
      <c r="D78" s="143"/>
      <c r="E78" s="144">
        <f>E67+E68</f>
        <v>30228856.392089553</v>
      </c>
      <c r="F78" s="144">
        <f>F67+F68</f>
        <v>62217186.910000004</v>
      </c>
      <c r="G78" s="144">
        <f>G67+G68</f>
        <v>32780119.839999996</v>
      </c>
      <c r="H78" s="144">
        <f>H67+H68</f>
        <v>6277979.7800000003</v>
      </c>
      <c r="I78" s="144">
        <f>I67+I68</f>
        <v>30137401.43</v>
      </c>
      <c r="J78" s="144">
        <f>J67+J68</f>
        <v>3277830.0499999998</v>
      </c>
      <c r="K78" s="144">
        <f t="shared" si="16"/>
        <v>-91454.962089553475</v>
      </c>
      <c r="L78" s="144">
        <f t="shared" si="19"/>
        <v>-2642718.4099999964</v>
      </c>
      <c r="M78" s="144">
        <f t="shared" si="17"/>
        <v>-32079785.480000004</v>
      </c>
      <c r="N78" s="144">
        <f t="shared" si="18"/>
        <v>-3000149.7300000004</v>
      </c>
      <c r="O78" s="145">
        <f t="shared" si="20"/>
        <v>0.99697458081432788</v>
      </c>
      <c r="P78" s="145">
        <f t="shared" si="21"/>
        <v>0.52211542006591161</v>
      </c>
      <c r="Q78" s="145">
        <f t="shared" si="22"/>
        <v>0.91938045306426197</v>
      </c>
      <c r="R78" s="146">
        <f t="shared" si="23"/>
        <v>0.48439029353087154</v>
      </c>
      <c r="S78" s="44"/>
      <c r="T78" s="44"/>
      <c r="U78" s="44"/>
      <c r="V78" s="44"/>
      <c r="W78" s="44"/>
      <c r="X78" s="44"/>
      <c r="Y78" s="44"/>
      <c r="Z78" s="44"/>
      <c r="AA78" s="44"/>
    </row>
    <row r="79">
      <c r="A79" s="168" t="s">
        <v>155</v>
      </c>
      <c r="B79" s="169" t="s">
        <v>156</v>
      </c>
      <c r="C79" s="106"/>
      <c r="D79" s="170"/>
      <c r="E79" s="171"/>
      <c r="F79" s="172"/>
      <c r="G79" s="172"/>
      <c r="H79" s="172"/>
      <c r="I79" s="173"/>
      <c r="J79" s="173"/>
      <c r="K79" s="174"/>
      <c r="L79" s="174"/>
      <c r="M79" s="172"/>
      <c r="N79" s="172"/>
      <c r="O79" s="172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148</cp:revision>
  <dcterms:created xsi:type="dcterms:W3CDTF">2015-02-26T11:08:47Z</dcterms:created>
  <dcterms:modified xsi:type="dcterms:W3CDTF">2025-07-28T05:20:15Z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