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5.12.2025 " sheetId="1" state="visible" r:id="rId1"/>
  </sheets>
  <definedNames>
    <definedName name="_xlnm._FilterDatabase" localSheetId="0" hidden="1">'на 15.12.2025 '!$A$4:$R$84</definedName>
    <definedName name="_xlnm.Print_Area" localSheetId="0" hidden="0">'на 15.12.2025 '!$A$1:$R$84</definedName>
    <definedName name="Print_Titles" localSheetId="0" hidden="0">'на 15.12.2025 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15.12.2025 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<sst xmlns="http://schemas.openxmlformats.org/spreadsheetml/2006/main" count="163" uniqueCount="163">
  <si>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</si>
  <si>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</si>
  <si>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</si>
  <si>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</si>
  <si>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</si>
  <si>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</si>
  <si>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12.12.2024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</si>
  <si>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</si>
  <si>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</si>
  <si>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</si>
  <si>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</si>
  <si>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</si>
  <si>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</si>
  <si>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</si>
  <si>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</si>
  <si>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декабрь</t>
  </si>
  <si>
    <t>декабрь</t>
  </si>
  <si>
    <t xml:space="preserve">с нач. года на 15.12.2025 (по 12.12.2025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</si>
  <si>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</si>
  <si>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</si>
  <si>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</si>
  <si>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декабрь от плана декабря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</si>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</sst>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3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4" numFmtId="163" xfId="0" applyNumberFormat="1" applyFont="1" applyBorder="1" applyAlignment="1">
      <alignment horizontal="center" vertical="center" wrapText="1"/>
    </xf>
    <xf fontId="11" fillId="0" borderId="6" numFmtId="163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top" wrapText="1"/>
    </xf>
    <xf fontId="11" fillId="0" borderId="3" numFmtId="164" xfId="105" applyNumberFormat="1" applyFont="1" applyBorder="1" applyAlignment="1" applyProtection="1">
      <alignment horizontal="center" vertical="top" wrapText="1"/>
    </xf>
    <xf fontId="11" fillId="0" borderId="3" numFmtId="163" xfId="0" applyNumberFormat="1" applyFont="1" applyBorder="1" applyAlignment="1">
      <alignment horizontal="center" vertical="center" wrapText="1"/>
    </xf>
    <xf fontId="11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1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5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19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7" fillId="0" borderId="20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24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0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5" fillId="0" borderId="9" numFmtId="165" xfId="0" applyNumberFormat="1" applyFont="1" applyBorder="1" applyAlignment="1">
      <alignment horizontal="left" vertical="center" wrapText="1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28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29" numFmtId="162" xfId="0" applyNumberFormat="1" applyFont="1" applyBorder="1" applyAlignment="1">
      <alignment horizontal="right" vertical="center" wrapText="1"/>
    </xf>
    <xf fontId="5" fillId="0" borderId="30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0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20" numFmtId="4" xfId="0" applyNumberFormat="1" applyFont="1" applyBorder="1" applyAlignment="1">
      <alignment horizontal="right" vertical="center" wrapText="1"/>
    </xf>
    <xf fontId="5" fillId="0" borderId="20" numFmtId="165" xfId="0" applyNumberFormat="1" applyFont="1" applyBorder="1" applyAlignment="1">
      <alignment vertical="center" wrapText="1"/>
    </xf>
    <xf fontId="16" fillId="0" borderId="0" numFmtId="0" xfId="0" applyFont="1" applyAlignment="1">
      <alignment vertical="center"/>
    </xf>
    <xf fontId="5" fillId="0" borderId="31" numFmtId="0" xfId="0" applyFont="1" applyBorder="1" applyAlignment="1">
      <alignment horizontal="center" vertical="center" wrapText="1"/>
    </xf>
    <xf fontId="17" fillId="0" borderId="32" numFmtId="49" xfId="0" applyNumberFormat="1" applyFont="1" applyBorder="1" applyAlignment="1">
      <alignment horizontal="left" vertical="center" wrapText="1"/>
    </xf>
    <xf fontId="5" fillId="0" borderId="33" numFmtId="0" xfId="0" applyFont="1" applyBorder="1" applyAlignment="1">
      <alignment vertical="center" wrapText="1"/>
    </xf>
    <xf fontId="5" fillId="0" borderId="32" numFmtId="162" xfId="0" applyNumberFormat="1" applyFont="1" applyBorder="1" applyAlignment="1">
      <alignment horizontal="right" vertical="center" wrapText="1"/>
    </xf>
    <xf fontId="5" fillId="0" borderId="33" numFmtId="162" xfId="0" applyNumberFormat="1" applyFont="1" applyBorder="1" applyAlignment="1">
      <alignment horizontal="right" vertical="center" wrapText="1"/>
    </xf>
    <xf fontId="5" fillId="0" borderId="32" numFmtId="164" xfId="0" applyNumberFormat="1" applyFont="1" applyBorder="1" applyAlignment="1">
      <alignment horizontal="right" vertical="center" wrapText="1"/>
    </xf>
    <xf fontId="5" fillId="0" borderId="34" numFmtId="164" xfId="0" applyNumberFormat="1" applyFont="1" applyBorder="1" applyAlignment="1">
      <alignment horizontal="right" vertical="center" wrapText="1"/>
    </xf>
    <xf fontId="5" fillId="0" borderId="35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 wrapText="1"/>
    </xf>
    <xf fontId="5" fillId="0" borderId="16" numFmtId="0" xfId="0" applyFont="1" applyBorder="1" applyAlignment="1">
      <alignment horizontal="left"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29" numFmtId="164" xfId="0" applyNumberFormat="1" applyFont="1" applyBorder="1" applyAlignment="1">
      <alignment horizontal="right" vertical="center" wrapText="1"/>
    </xf>
    <xf fontId="5" fillId="0" borderId="30" numFmtId="0" xfId="0" applyFont="1" applyBorder="1" applyAlignment="1">
      <alignment horizontal="center" vertical="center" wrapText="1"/>
    </xf>
    <xf fontId="7" fillId="0" borderId="20" numFmtId="0" xfId="0" applyFont="1" applyBorder="1" applyAlignment="1">
      <alignment horizontal="left" vertical="center" wrapText="1"/>
    </xf>
    <xf fontId="5" fillId="0" borderId="35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0" numFmtId="166" xfId="0" applyNumberFormat="1" applyFont="1" applyBorder="1" applyAlignment="1">
      <alignment vertical="center" wrapText="1"/>
    </xf>
    <xf fontId="18" fillId="0" borderId="20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17" fillId="0" borderId="33" numFmtId="49" xfId="0" applyNumberFormat="1" applyFont="1" applyBorder="1" applyAlignment="1">
      <alignment horizontal="left" vertical="center" wrapText="1"/>
    </xf>
    <xf fontId="5" fillId="0" borderId="32" numFmtId="0" xfId="0" applyFont="1" applyBorder="1" applyAlignment="1">
      <alignment vertical="center" wrapText="1"/>
    </xf>
    <xf fontId="5" fillId="0" borderId="33" numFmtId="164" xfId="0" applyNumberFormat="1" applyFont="1" applyBorder="1" applyAlignment="1">
      <alignment horizontal="right" vertical="center" wrapText="1"/>
    </xf>
    <xf fontId="5" fillId="0" borderId="36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7" fillId="0" borderId="20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20" numFmtId="0" xfId="0" applyFont="1" applyBorder="1" applyAlignment="1">
      <alignment horizontal="left" vertical="center" wrapText="1"/>
    </xf>
    <xf fontId="19" fillId="0" borderId="0" numFmtId="0" xfId="0" applyFont="1" applyAlignment="1">
      <alignment vertical="center"/>
    </xf>
    <xf fontId="16" fillId="0" borderId="28" numFmtId="49" xfId="0" applyNumberFormat="1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0" numFmtId="0" xfId="0" applyFont="1" applyAlignment="1">
      <alignment horizontal="left" vertical="center"/>
    </xf>
    <xf fontId="19" fillId="0" borderId="4" numFmtId="0" xfId="0" applyFont="1" applyBorder="1" applyAlignment="1">
      <alignment horizontal="left" vertical="center" wrapText="1"/>
    </xf>
    <xf fontId="19" fillId="0" borderId="20" numFmtId="162" xfId="0" applyNumberFormat="1" applyFont="1" applyBorder="1" applyAlignment="1">
      <alignment horizontal="right" vertical="center" wrapText="1"/>
    </xf>
    <xf fontId="19" fillId="0" borderId="0" numFmtId="162" xfId="0" applyNumberFormat="1" applyFont="1" applyAlignment="1">
      <alignment horizontal="right" vertical="center" wrapText="1"/>
    </xf>
    <xf fontId="16" fillId="0" borderId="0" numFmtId="164" xfId="0" applyNumberFormat="1" applyFont="1" applyAlignment="1">
      <alignment horizontal="right" vertical="center" wrapText="1"/>
    </xf>
    <xf fontId="19" fillId="0" borderId="20" numFmtId="164" xfId="0" applyNumberFormat="1" applyFont="1" applyBorder="1" applyAlignment="1">
      <alignment horizontal="right" vertical="center" wrapText="1"/>
    </xf>
    <xf fontId="19" fillId="0" borderId="21" numFmtId="164" xfId="0" applyNumberFormat="1" applyFont="1" applyBorder="1" applyAlignment="1">
      <alignment horizontal="right" vertical="center" wrapText="1"/>
    </xf>
    <xf fontId="19" fillId="0" borderId="23" numFmtId="164" xfId="0" applyNumberFormat="1" applyFont="1" applyBorder="1" applyAlignment="1">
      <alignment horizontal="right" vertical="center" wrapText="1"/>
    </xf>
    <xf fontId="21" fillId="0" borderId="20" numFmtId="0" xfId="0" applyFont="1" applyBorder="1" applyAlignment="1">
      <alignment horizontal="left" vertical="center"/>
    </xf>
    <xf fontId="19" fillId="0" borderId="0" numFmtId="0" xfId="0" applyFont="1" applyAlignment="1">
      <alignment horizontal="left" vertical="center" wrapText="1"/>
    </xf>
    <xf fontId="16" fillId="0" borderId="20" numFmtId="164" xfId="0" applyNumberFormat="1" applyFont="1" applyBorder="1" applyAlignment="1">
      <alignment horizontal="right" vertical="center" wrapText="1"/>
    </xf>
    <xf fontId="19" fillId="0" borderId="0" numFmtId="164" xfId="0" applyNumberFormat="1" applyFont="1" applyAlignment="1">
      <alignment horizontal="right" vertical="center" wrapText="1"/>
    </xf>
    <xf fontId="19" fillId="0" borderId="20" numFmtId="4" xfId="0" applyNumberFormat="1" applyFont="1" applyBorder="1" applyAlignment="1">
      <alignment horizontal="right" vertical="center" wrapText="1"/>
    </xf>
    <xf fontId="19" fillId="0" borderId="6" numFmtId="162" xfId="0" applyNumberFormat="1" applyFont="1" applyBorder="1" applyAlignment="1">
      <alignment horizontal="right" vertical="center" wrapText="1"/>
    </xf>
    <xf fontId="5" fillId="0" borderId="31" numFmtId="49" xfId="0" applyNumberFormat="1" applyFont="1" applyBorder="1" applyAlignment="1">
      <alignment horizontal="center" vertical="center" wrapText="1"/>
    </xf>
    <xf fontId="5" fillId="0" borderId="37" numFmtId="162" xfId="0" applyNumberFormat="1" applyFont="1" applyBorder="1" applyAlignment="1">
      <alignment horizontal="right" vertical="center" wrapText="1"/>
    </xf>
    <xf fontId="6" fillId="0" borderId="13" numFmtId="0" xfId="0" applyFont="1" applyBorder="1" applyAlignment="1">
      <alignment horizontal="center" vertical="top" wrapText="1"/>
    </xf>
    <xf fontId="7" fillId="0" borderId="15" numFmtId="0" xfId="0" applyFont="1" applyBorder="1" applyAlignment="1">
      <alignment horizontal="left" vertical="center"/>
    </xf>
    <xf fontId="5" fillId="0" borderId="38" numFmtId="162" xfId="0" applyNumberFormat="1" applyFont="1" applyBorder="1" applyAlignment="1">
      <alignment horizontal="right" vertical="center" wrapText="1"/>
    </xf>
    <xf fontId="6" fillId="0" borderId="19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5" fillId="0" borderId="31" numFmtId="49" xfId="0" applyNumberFormat="1" applyFont="1" applyBorder="1" applyAlignment="1">
      <alignment horizontal="center" vertical="top" wrapText="1"/>
    </xf>
    <xf fontId="5" fillId="0" borderId="32" numFmtId="162" xfId="0" applyNumberFormat="1" applyFont="1" applyBorder="1" applyAlignment="1">
      <alignment vertical="center" wrapText="1"/>
    </xf>
    <xf fontId="5" fillId="0" borderId="33" numFmtId="162" xfId="0" applyNumberFormat="1" applyFont="1" applyBorder="1" applyAlignment="1">
      <alignment vertical="center" wrapText="1"/>
    </xf>
    <xf fontId="5" fillId="0" borderId="35" numFmtId="49" xfId="0" applyNumberFormat="1" applyFont="1" applyBorder="1" applyAlignment="1">
      <alignment horizontal="center" vertical="center" wrapText="1"/>
    </xf>
    <xf fontId="6" fillId="0" borderId="39" numFmtId="0" xfId="0" applyFont="1" applyBorder="1" applyAlignment="1">
      <alignment horizontal="center" vertical="center" wrapText="1"/>
    </xf>
    <xf fontId="7" fillId="0" borderId="17" numFmtId="49" xfId="0" applyNumberFormat="1" applyFont="1" applyBorder="1" applyAlignment="1">
      <alignment horizontal="left" vertical="center" wrapText="1"/>
    </xf>
    <xf fontId="5" fillId="0" borderId="40" numFmtId="165" xfId="0" applyNumberFormat="1" applyFont="1" applyBorder="1" applyAlignment="1">
      <alignment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22" fillId="0" borderId="20" numFmtId="165" xfId="0" applyNumberFormat="1" applyFont="1" applyBorder="1" applyAlignment="1">
      <alignment horizontal="right" vertical="center" wrapText="1"/>
    </xf>
    <xf fontId="14" fillId="0" borderId="17" numFmtId="162" xfId="0" applyNumberFormat="1" applyFont="1" applyBorder="1" applyAlignment="1">
      <alignment horizontal="right" vertical="center" wrapText="1"/>
    </xf>
    <xf fontId="14" fillId="0" borderId="20" numFmtId="162" xfId="0" applyNumberFormat="1" applyFont="1" applyBorder="1" applyAlignment="1">
      <alignment horizontal="right" vertical="center" wrapText="1"/>
    </xf>
    <xf fontId="14" fillId="0" borderId="20" numFmtId="4" xfId="0" applyNumberFormat="1" applyFont="1" applyBorder="1" applyAlignment="1">
      <alignment horizontal="right" vertical="center" wrapText="1"/>
    </xf>
    <xf fontId="14" fillId="0" borderId="20" numFmtId="164" xfId="0" applyNumberFormat="1" applyFont="1" applyBorder="1" applyAlignment="1">
      <alignment horizontal="right" vertical="center" wrapText="1"/>
    </xf>
    <xf fontId="14" fillId="0" borderId="23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4" numFmtId="165" xfId="0" applyNumberFormat="1" applyFont="1" applyBorder="1" applyAlignment="1">
      <alignment vertical="center" wrapText="1"/>
    </xf>
    <xf fontId="5" fillId="0" borderId="22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20" numFmtId="165" xfId="0" applyNumberFormat="1" applyFont="1" applyBorder="1" applyAlignment="1">
      <alignment horizontal="left" vertical="center" wrapText="1"/>
    </xf>
    <xf fontId="5" fillId="0" borderId="43" numFmtId="49" xfId="0" applyNumberFormat="1" applyFont="1" applyBorder="1" applyAlignment="1">
      <alignment horizontal="center" vertical="center" wrapText="1"/>
    </xf>
    <xf fontId="7" fillId="0" borderId="17" numFmtId="166" xfId="0" applyNumberFormat="1" applyFont="1" applyBorder="1" applyAlignment="1">
      <alignment vertical="center" wrapText="1"/>
    </xf>
    <xf fontId="5" fillId="0" borderId="17" numFmtId="165" xfId="0" applyNumberFormat="1" applyFont="1" applyBorder="1" applyAlignment="1">
      <alignment horizontal="left" vertical="center" wrapText="1"/>
    </xf>
    <xf fontId="5" fillId="0" borderId="17" numFmtId="4" xfId="0" applyNumberFormat="1" applyFont="1" applyBorder="1" applyAlignment="1">
      <alignment horizontal="right" vertical="center" wrapText="1"/>
    </xf>
    <xf fontId="6" fillId="0" borderId="44" numFmtId="0" xfId="0" applyFont="1" applyBorder="1" applyAlignment="1">
      <alignment horizontal="center" vertical="center" wrapText="1"/>
    </xf>
    <xf fontId="5" fillId="0" borderId="45" numFmtId="162" xfId="0" applyNumberFormat="1" applyFont="1" applyBorder="1" applyAlignment="1">
      <alignment horizontal="right" vertical="center" wrapText="1"/>
    </xf>
    <xf fontId="5" fillId="0" borderId="14" numFmtId="165" xfId="0" applyNumberFormat="1" applyFont="1" applyBorder="1" applyAlignment="1">
      <alignment horizontal="left" vertical="center" wrapText="1"/>
    </xf>
    <xf fontId="10" fillId="0" borderId="23" numFmtId="164" xfId="0" applyNumberFormat="1" applyFont="1" applyBorder="1" applyAlignment="1">
      <alignment horizontal="right" vertical="center" wrapText="1"/>
    </xf>
    <xf fontId="5" fillId="0" borderId="31" numFmtId="0" xfId="0" applyFont="1" applyBorder="1" applyAlignment="1">
      <alignment horizontal="center" vertical="top" wrapText="1"/>
    </xf>
    <xf fontId="14" fillId="0" borderId="30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5" fillId="0" borderId="9" numFmtId="167" xfId="0" applyNumberFormat="1" applyFont="1" applyBorder="1" applyAlignment="1">
      <alignment horizontal="left" vertical="center" wrapText="1"/>
    </xf>
    <xf fontId="14" fillId="0" borderId="10" numFmtId="167" xfId="0" applyNumberFormat="1" applyFont="1" applyBorder="1" applyAlignment="1">
      <alignment horizontal="center" vertical="center" wrapText="1"/>
    </xf>
    <xf fontId="14" fillId="0" borderId="30" numFmtId="49" xfId="0" applyNumberFormat="1" applyFont="1" applyBorder="1" applyAlignment="1">
      <alignment vertical="center" wrapText="1"/>
    </xf>
    <xf fontId="14" fillId="0" borderId="46" numFmtId="165" xfId="0" applyNumberFormat="1" applyFont="1" applyBorder="1" applyAlignment="1">
      <alignment horizontal="center" vertical="center" wrapText="1"/>
    </xf>
    <xf fontId="15" fillId="0" borderId="47" numFmtId="165" xfId="0" applyNumberFormat="1" applyFont="1" applyBorder="1" applyAlignment="1">
      <alignment horizontal="left" vertical="center" wrapText="1"/>
    </xf>
    <xf fontId="14" fillId="0" borderId="38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4" fillId="0" borderId="18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25" numFmtId="0" xfId="0" applyFont="1" applyBorder="1" applyAlignment="1">
      <alignment horizontal="center" vertical="top" wrapText="1"/>
    </xf>
    <xf fontId="18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3" fillId="0" borderId="19" numFmtId="0" xfId="0" applyFont="1" applyBorder="1" applyAlignment="1">
      <alignment horizontal="center" vertical="top" wrapText="1"/>
    </xf>
    <xf fontId="18" fillId="0" borderId="4" numFmtId="162" xfId="0" applyNumberFormat="1" applyFont="1" applyBorder="1" applyAlignment="1">
      <alignment vertical="center" wrapText="1"/>
    </xf>
    <xf fontId="23" fillId="0" borderId="0" numFmtId="162" xfId="0" applyNumberFormat="1" applyFont="1" applyAlignment="1">
      <alignment horizontal="right" vertical="center" wrapText="1"/>
    </xf>
    <xf fontId="23" fillId="0" borderId="20" numFmtId="162" xfId="0" applyNumberFormat="1" applyFont="1" applyBorder="1" applyAlignment="1">
      <alignment horizontal="right" vertical="center" wrapText="1"/>
    </xf>
    <xf fontId="18" fillId="0" borderId="4" numFmtId="0" xfId="0" applyFont="1" applyBorder="1" applyAlignment="1">
      <alignment horizontal="left" vertical="center" wrapText="1"/>
    </xf>
    <xf fontId="18" fillId="0" borderId="0" numFmtId="0" xfId="0" applyFont="1" applyAlignment="1">
      <alignment horizontal="left" vertical="center" wrapText="1"/>
    </xf>
    <xf fontId="14" fillId="0" borderId="49" numFmtId="49" xfId="0" applyNumberFormat="1" applyFont="1" applyBorder="1" applyAlignment="1">
      <alignment horizontal="center" vertical="center" wrapText="1"/>
    </xf>
    <xf fontId="18" fillId="0" borderId="0" numFmtId="0" xfId="0" applyFont="1" applyAlignment="1">
      <alignment horizontal="left" vertical="top" wrapText="1"/>
    </xf>
    <xf fontId="5" fillId="0" borderId="20" numFmtId="164" xfId="0" applyNumberFormat="1" applyFont="1" applyBorder="1" applyAlignment="1">
      <alignment vertical="center" wrapText="1"/>
    </xf>
    <xf fontId="7" fillId="0" borderId="41" numFmtId="49" xfId="0" applyNumberFormat="1" applyFont="1" applyBorder="1" applyAlignment="1">
      <alignment horizontal="left" vertical="center" wrapText="1"/>
    </xf>
    <xf fontId="18" fillId="0" borderId="4" numFmtId="165" xfId="0" applyNumberFormat="1" applyFont="1" applyBorder="1" applyAlignment="1">
      <alignment vertical="center" wrapText="1"/>
    </xf>
    <xf fontId="7" fillId="0" borderId="21" numFmtId="49" xfId="0" applyNumberFormat="1" applyFont="1" applyBorder="1" applyAlignment="1">
      <alignment horizontal="left" vertical="center" wrapText="1"/>
    </xf>
    <xf fontId="18" fillId="0" borderId="0" numFmtId="165" xfId="0" applyNumberFormat="1" applyFont="1" applyAlignment="1">
      <alignment vertical="center" wrapText="1"/>
    </xf>
    <xf fontId="14" fillId="0" borderId="50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6.0039062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hidden="1" min="12" max="12" style="5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customWidth="1" min="19" max="44" style="1" width="9.140625"/>
    <col min="45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7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5">
      <c r="A4" s="17"/>
      <c r="B4" s="18"/>
      <c r="C4" s="19"/>
      <c r="D4" s="20"/>
      <c r="E4" s="21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4" t="s">
        <v>21</v>
      </c>
      <c r="O4" s="27"/>
      <c r="P4" s="28"/>
      <c r="Q4" s="28"/>
      <c r="R4" s="27"/>
      <c r="S4" s="16"/>
      <c r="T4" s="16"/>
      <c r="U4" s="16"/>
      <c r="V4" s="16"/>
      <c r="W4" s="16"/>
      <c r="X4" s="16"/>
      <c r="Y4" s="16"/>
      <c r="Z4" s="16"/>
    </row>
    <row r="5" s="35" customFormat="1" ht="17.25">
      <c r="A5" s="36"/>
      <c r="B5" s="37" t="s">
        <v>22</v>
      </c>
      <c r="C5" s="38"/>
      <c r="D5" s="39"/>
      <c r="E5" s="40">
        <f>SUM(E6:E16)</f>
        <v>20980084.320447762</v>
      </c>
      <c r="F5" s="40">
        <f>SUM(F6:F16)</f>
        <v>28065221.000000004</v>
      </c>
      <c r="G5" s="40">
        <f>SUM(G6:G16)</f>
        <v>0</v>
      </c>
      <c r="H5" s="40">
        <f>SUM(H6:H16)</f>
        <v>4119530.6000000001</v>
      </c>
      <c r="I5" s="40">
        <f>SUM(I6:I16)</f>
        <v>23740397.370000005</v>
      </c>
      <c r="J5" s="40">
        <f>SUM(J6:J16)</f>
        <v>884736.37000000011</v>
      </c>
      <c r="K5" s="41">
        <f>SUM(K6:K16)</f>
        <v>2760313.049552239</v>
      </c>
      <c r="L5" s="40">
        <f>SUM(L6:L16)</f>
        <v>23740397.370000005</v>
      </c>
      <c r="M5" s="41">
        <f>SUM(M6:M16)</f>
        <v>-4324823.6299999999</v>
      </c>
      <c r="N5" s="40">
        <f>SUM(N6:N16)</f>
        <v>-3234794.23</v>
      </c>
      <c r="O5" s="42">
        <f t="shared" ref="O5:O9" si="0">IFERROR(I5/E5,"")</f>
        <v>1.1315682533678841</v>
      </c>
      <c r="P5" s="43">
        <f t="shared" ref="P5:P9" si="1">IFERROR(J5/H5,"")</f>
        <v>0.21476630614177258</v>
      </c>
      <c r="Q5" s="44" t="str">
        <f t="shared" ref="Q5:Q9" si="2">IFERROR(I5/G5,"")</f>
        <v/>
      </c>
      <c r="R5" s="45">
        <f t="shared" ref="R5:R9" si="3">IFERROR(I5/F5,"")</f>
        <v>0.84590095941165055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ht="17.25">
      <c r="A6" s="46"/>
      <c r="B6" s="47" t="s">
        <v>23</v>
      </c>
      <c r="C6" s="48" t="s">
        <v>24</v>
      </c>
      <c r="D6" s="49" t="s">
        <v>25</v>
      </c>
      <c r="E6" s="50">
        <f>17292351.5/33.5*30</f>
        <v>15485687.910447761</v>
      </c>
      <c r="F6" s="50">
        <v>21478832.199999999</v>
      </c>
      <c r="G6" s="50"/>
      <c r="H6" s="51">
        <v>3260366.8999999999</v>
      </c>
      <c r="I6" s="50">
        <v>17060332.109999999</v>
      </c>
      <c r="J6" s="50">
        <v>505396.74000000005</v>
      </c>
      <c r="K6" s="50">
        <f t="shared" ref="K6:K9" si="4">I6-E6</f>
        <v>1574644.199552238</v>
      </c>
      <c r="L6" s="51">
        <f t="shared" ref="L6:L9" si="5">I6-G6</f>
        <v>17060332.109999999</v>
      </c>
      <c r="M6" s="52">
        <f t="shared" ref="M6:M9" si="6">I6-F6</f>
        <v>-4418500.0899999999</v>
      </c>
      <c r="N6" s="53">
        <f t="shared" ref="N6:N9" si="7">J6-H6</f>
        <v>-2754970.1599999997</v>
      </c>
      <c r="O6" s="54">
        <f t="shared" si="0"/>
        <v>1.1016838392106474</v>
      </c>
      <c r="P6" s="55">
        <f t="shared" si="1"/>
        <v>0.15501222883841695</v>
      </c>
      <c r="Q6" s="54" t="str">
        <f t="shared" si="2"/>
        <v/>
      </c>
      <c r="R6" s="56">
        <f t="shared" si="3"/>
        <v>0.79428583226233318</v>
      </c>
      <c r="S6" s="1"/>
      <c r="T6" s="1"/>
      <c r="U6" s="1"/>
      <c r="V6" s="1"/>
      <c r="W6" s="1"/>
      <c r="X6" s="1"/>
      <c r="Y6" s="1"/>
      <c r="Z6" s="1"/>
    </row>
    <row r="7" ht="17.25">
      <c r="A7" s="57"/>
      <c r="B7" s="58" t="s">
        <v>26</v>
      </c>
      <c r="C7" s="59" t="s">
        <v>27</v>
      </c>
      <c r="D7" s="60" t="s">
        <v>28</v>
      </c>
      <c r="E7" s="61">
        <v>75876.009999999995</v>
      </c>
      <c r="F7" s="61">
        <v>82008.100000000006</v>
      </c>
      <c r="G7" s="62"/>
      <c r="H7" s="61">
        <v>9891.6000000000004</v>
      </c>
      <c r="I7" s="63">
        <v>76877.300000000003</v>
      </c>
      <c r="J7" s="61">
        <v>0.02</v>
      </c>
      <c r="K7" s="62">
        <f t="shared" si="4"/>
        <v>1001.2900000000081</v>
      </c>
      <c r="L7" s="61">
        <f t="shared" si="5"/>
        <v>76877.300000000003</v>
      </c>
      <c r="M7" s="64">
        <f t="shared" si="6"/>
        <v>-5130.8000000000029</v>
      </c>
      <c r="N7" s="61">
        <f t="shared" si="7"/>
        <v>-9891.5799999999999</v>
      </c>
      <c r="O7" s="65">
        <f t="shared" si="0"/>
        <v>1.0131963976492704</v>
      </c>
      <c r="P7" s="66">
        <f t="shared" si="1"/>
        <v>2.0219175866391686e-06</v>
      </c>
      <c r="Q7" s="67" t="str">
        <f t="shared" si="2"/>
        <v/>
      </c>
      <c r="R7" s="68">
        <f t="shared" si="3"/>
        <v>0.93743544844960436</v>
      </c>
      <c r="S7" s="1"/>
      <c r="T7" s="1"/>
      <c r="U7" s="1"/>
      <c r="V7" s="1"/>
      <c r="W7" s="1"/>
      <c r="X7" s="1"/>
      <c r="Y7" s="1"/>
      <c r="Z7" s="1"/>
    </row>
    <row r="8" ht="17.25">
      <c r="A8" s="57"/>
      <c r="B8" s="58" t="s">
        <v>23</v>
      </c>
      <c r="C8" s="69" t="s">
        <v>29</v>
      </c>
      <c r="D8" s="70" t="s">
        <v>30</v>
      </c>
      <c r="E8" s="61">
        <v>0</v>
      </c>
      <c r="F8" s="61">
        <v>52994.300000000003</v>
      </c>
      <c r="G8" s="61"/>
      <c r="H8" s="62">
        <v>0</v>
      </c>
      <c r="I8" s="61">
        <v>30950.18</v>
      </c>
      <c r="J8" s="61">
        <v>526.34000000000003</v>
      </c>
      <c r="K8" s="61">
        <f t="shared" si="4"/>
        <v>30950.18</v>
      </c>
      <c r="L8" s="62">
        <f t="shared" si="5"/>
        <v>30950.18</v>
      </c>
      <c r="M8" s="61">
        <f t="shared" si="6"/>
        <v>-22044.120000000003</v>
      </c>
      <c r="N8" s="62">
        <f t="shared" si="7"/>
        <v>526.34000000000003</v>
      </c>
      <c r="O8" s="66" t="str">
        <f t="shared" si="0"/>
        <v/>
      </c>
      <c r="P8" s="65" t="str">
        <f t="shared" si="1"/>
        <v/>
      </c>
      <c r="Q8" s="66" t="str">
        <f t="shared" si="2"/>
        <v/>
      </c>
      <c r="R8" s="68">
        <f t="shared" si="3"/>
        <v>0.58402847098650235</v>
      </c>
      <c r="S8" s="1"/>
      <c r="T8" s="1"/>
      <c r="U8" s="1"/>
      <c r="V8" s="1"/>
      <c r="W8" s="1"/>
      <c r="X8" s="1"/>
      <c r="Y8" s="1"/>
      <c r="Z8" s="1"/>
    </row>
    <row r="9" ht="17.25">
      <c r="A9" s="57"/>
      <c r="B9" s="58" t="s">
        <v>23</v>
      </c>
      <c r="C9" s="59" t="s">
        <v>31</v>
      </c>
      <c r="D9" s="60" t="s">
        <v>32</v>
      </c>
      <c r="E9" s="61">
        <v>1137145.6599999999</v>
      </c>
      <c r="F9" s="61">
        <v>1259409.1000000001</v>
      </c>
      <c r="G9" s="61"/>
      <c r="H9" s="61">
        <v>30166.200000000001</v>
      </c>
      <c r="I9" s="61">
        <v>1208772.6899999999</v>
      </c>
      <c r="J9" s="61">
        <v>6143.3200000000006</v>
      </c>
      <c r="K9" s="62">
        <f t="shared" si="4"/>
        <v>71627.030000000028</v>
      </c>
      <c r="L9" s="61">
        <f t="shared" si="5"/>
        <v>1208772.6899999999</v>
      </c>
      <c r="M9" s="64">
        <f t="shared" si="6"/>
        <v>-50636.410000000149</v>
      </c>
      <c r="N9" s="61">
        <f t="shared" si="7"/>
        <v>-24022.880000000001</v>
      </c>
      <c r="O9" s="65">
        <f t="shared" si="0"/>
        <v>1.0629884389656818</v>
      </c>
      <c r="P9" s="66">
        <f t="shared" si="1"/>
        <v>0.20364911722391288</v>
      </c>
      <c r="Q9" s="67" t="str">
        <f t="shared" si="2"/>
        <v/>
      </c>
      <c r="R9" s="68">
        <f t="shared" si="3"/>
        <v>0.95979351745195418</v>
      </c>
      <c r="S9" s="1"/>
      <c r="T9" s="1"/>
      <c r="U9" s="1"/>
      <c r="V9" s="1"/>
      <c r="W9" s="1"/>
      <c r="X9" s="1"/>
      <c r="Y9" s="1"/>
      <c r="Z9" s="1"/>
    </row>
    <row r="10" ht="17.25">
      <c r="A10" s="57"/>
      <c r="B10" s="58" t="s">
        <v>23</v>
      </c>
      <c r="C10" s="69" t="s">
        <v>33</v>
      </c>
      <c r="D10" s="70" t="s">
        <v>34</v>
      </c>
      <c r="E10" s="61">
        <v>547.54999999999995</v>
      </c>
      <c r="F10" s="61">
        <v>0</v>
      </c>
      <c r="G10" s="62"/>
      <c r="H10" s="61">
        <v>0</v>
      </c>
      <c r="I10" s="63">
        <v>301.60000000000002</v>
      </c>
      <c r="J10" s="71">
        <v>6.9500000000000002</v>
      </c>
      <c r="K10" s="61">
        <f t="shared" ref="K10:K47" si="8">I10-E10</f>
        <v>-245.94999999999993</v>
      </c>
      <c r="L10" s="62">
        <f t="shared" ref="L10:L73" si="9">I10-G10</f>
        <v>301.60000000000002</v>
      </c>
      <c r="M10" s="61">
        <f t="shared" ref="M10:M47" si="10">I10-F10</f>
        <v>301.60000000000002</v>
      </c>
      <c r="N10" s="62">
        <f t="shared" ref="N10:N47" si="11">J10-H10</f>
        <v>6.9500000000000002</v>
      </c>
      <c r="O10" s="66">
        <f t="shared" ref="O10:O73" si="12">IFERROR(I10/E10,"")</f>
        <v>0.55081727696100824</v>
      </c>
      <c r="P10" s="65" t="str">
        <f t="shared" ref="P10:P73" si="13">IFERROR(J10/H10,"")</f>
        <v/>
      </c>
      <c r="Q10" s="66" t="str">
        <f t="shared" ref="Q10:Q73" si="14">IFERROR(I10/G10,"")</f>
        <v/>
      </c>
      <c r="R10" s="6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57"/>
      <c r="B11" s="58" t="s">
        <v>23</v>
      </c>
      <c r="C11" s="59" t="s">
        <v>35</v>
      </c>
      <c r="D11" s="60" t="s">
        <v>36</v>
      </c>
      <c r="E11" s="61">
        <v>1295.75</v>
      </c>
      <c r="F11" s="61">
        <v>1208.9000000000001</v>
      </c>
      <c r="G11" s="61"/>
      <c r="H11" s="62">
        <v>0</v>
      </c>
      <c r="I11" s="61">
        <v>1214.1099999999999</v>
      </c>
      <c r="J11" s="61">
        <v>0.029999999999999999</v>
      </c>
      <c r="K11" s="62">
        <f t="shared" si="8"/>
        <v>-81.6400000000001</v>
      </c>
      <c r="L11" s="61">
        <f t="shared" si="9"/>
        <v>1214.1099999999999</v>
      </c>
      <c r="M11" s="64">
        <f t="shared" si="10"/>
        <v>5.209999999999809</v>
      </c>
      <c r="N11" s="61">
        <f t="shared" si="11"/>
        <v>0.029999999999999999</v>
      </c>
      <c r="O11" s="65">
        <f t="shared" si="12"/>
        <v>0.9369940189079683</v>
      </c>
      <c r="P11" s="66" t="str">
        <f t="shared" si="13"/>
        <v/>
      </c>
      <c r="Q11" s="67" t="str">
        <f t="shared" si="14"/>
        <v/>
      </c>
      <c r="R11" s="68">
        <f t="shared" si="15"/>
        <v>1.0043097030358175</v>
      </c>
      <c r="S11" s="1"/>
      <c r="T11" s="1"/>
      <c r="U11" s="1"/>
      <c r="V11" s="1"/>
      <c r="W11" s="1"/>
      <c r="X11" s="1"/>
      <c r="Y11" s="1"/>
      <c r="Z11" s="1"/>
    </row>
    <row r="12" ht="17.25">
      <c r="A12" s="57"/>
      <c r="B12" s="58" t="s">
        <v>23</v>
      </c>
      <c r="C12" s="69" t="s">
        <v>37</v>
      </c>
      <c r="D12" s="70" t="s">
        <v>38</v>
      </c>
      <c r="E12" s="61">
        <v>330081.51000000001</v>
      </c>
      <c r="F12" s="61">
        <v>615839.40000000002</v>
      </c>
      <c r="G12" s="62"/>
      <c r="H12" s="61">
        <v>273247.09999999998</v>
      </c>
      <c r="I12" s="63">
        <v>355387.02999999997</v>
      </c>
      <c r="J12" s="71">
        <v>-3463.4300000000003</v>
      </c>
      <c r="K12" s="61">
        <f t="shared" si="8"/>
        <v>25305.51999999996</v>
      </c>
      <c r="L12" s="62">
        <f t="shared" si="9"/>
        <v>355387.02999999997</v>
      </c>
      <c r="M12" s="61">
        <f t="shared" si="10"/>
        <v>-260452.37000000005</v>
      </c>
      <c r="N12" s="62">
        <f t="shared" si="11"/>
        <v>-276710.52999999997</v>
      </c>
      <c r="O12" s="66">
        <f t="shared" si="12"/>
        <v>1.0766644578183127</v>
      </c>
      <c r="P12" s="65">
        <f t="shared" si="13"/>
        <v>-0.012675084200344671</v>
      </c>
      <c r="Q12" s="66" t="str">
        <f t="shared" si="14"/>
        <v/>
      </c>
      <c r="R12" s="68">
        <f t="shared" si="15"/>
        <v>0.57707744908818748</v>
      </c>
      <c r="S12" s="1"/>
      <c r="T12" s="1"/>
      <c r="U12" s="1"/>
      <c r="V12" s="1"/>
      <c r="W12" s="1"/>
      <c r="X12" s="1"/>
      <c r="Y12" s="1"/>
      <c r="Z12" s="1"/>
    </row>
    <row r="13" ht="17.25">
      <c r="A13" s="57"/>
      <c r="B13" s="58" t="s">
        <v>39</v>
      </c>
      <c r="C13" s="59" t="s">
        <v>40</v>
      </c>
      <c r="D13" s="60" t="s">
        <v>41</v>
      </c>
      <c r="E13" s="61">
        <v>1290340.5900000001</v>
      </c>
      <c r="F13" s="61">
        <v>1486170.1000000001</v>
      </c>
      <c r="G13" s="61"/>
      <c r="H13" s="62">
        <v>409270.09999999998</v>
      </c>
      <c r="I13" s="61">
        <v>1746646.5600000001</v>
      </c>
      <c r="J13" s="61">
        <v>285868.46000000002</v>
      </c>
      <c r="K13" s="62">
        <f t="shared" si="8"/>
        <v>456305.96999999997</v>
      </c>
      <c r="L13" s="61">
        <f t="shared" si="9"/>
        <v>1746646.5600000001</v>
      </c>
      <c r="M13" s="64">
        <f t="shared" si="10"/>
        <v>260476.45999999996</v>
      </c>
      <c r="N13" s="61">
        <f t="shared" si="11"/>
        <v>-123401.63999999996</v>
      </c>
      <c r="O13" s="65">
        <f t="shared" si="12"/>
        <v>1.3536321910171019</v>
      </c>
      <c r="P13" s="66">
        <f t="shared" si="13"/>
        <v>0.69848361754254717</v>
      </c>
      <c r="Q13" s="67" t="str">
        <f t="shared" si="14"/>
        <v/>
      </c>
      <c r="R13" s="68">
        <f t="shared" si="15"/>
        <v>1.175266922675944</v>
      </c>
      <c r="S13" s="1"/>
      <c r="T13" s="1"/>
      <c r="U13" s="1"/>
      <c r="V13" s="1"/>
      <c r="W13" s="1"/>
      <c r="X13" s="1"/>
      <c r="Y13" s="1"/>
      <c r="Z13" s="1"/>
    </row>
    <row r="14" ht="17.25">
      <c r="A14" s="57"/>
      <c r="B14" s="58" t="s">
        <v>39</v>
      </c>
      <c r="C14" s="69" t="s">
        <v>42</v>
      </c>
      <c r="D14" s="70" t="s">
        <v>43</v>
      </c>
      <c r="E14" s="61">
        <v>2323074.8199999998</v>
      </c>
      <c r="F14" s="61">
        <v>2439929.7999999998</v>
      </c>
      <c r="G14" s="62"/>
      <c r="H14" s="61">
        <v>80104.899999999994</v>
      </c>
      <c r="I14" s="63">
        <v>2621541.5800000001</v>
      </c>
      <c r="J14" s="71">
        <v>63664.32</v>
      </c>
      <c r="K14" s="61">
        <f t="shared" si="8"/>
        <v>298466.76000000024</v>
      </c>
      <c r="L14" s="62">
        <f t="shared" si="9"/>
        <v>2621541.5800000001</v>
      </c>
      <c r="M14" s="61">
        <f t="shared" si="10"/>
        <v>181611.78000000026</v>
      </c>
      <c r="N14" s="72">
        <f t="shared" si="11"/>
        <v>-16440.579999999994</v>
      </c>
      <c r="O14" s="66">
        <f t="shared" si="12"/>
        <v>1.1284791851861233</v>
      </c>
      <c r="P14" s="65">
        <f t="shared" si="13"/>
        <v>0.79476186849992947</v>
      </c>
      <c r="Q14" s="66" t="str">
        <f t="shared" si="14"/>
        <v/>
      </c>
      <c r="R14" s="68">
        <f t="shared" si="15"/>
        <v>1.0744331988567868</v>
      </c>
      <c r="S14" s="1"/>
      <c r="T14" s="1"/>
      <c r="U14" s="1"/>
      <c r="V14" s="1"/>
      <c r="W14" s="1"/>
      <c r="X14" s="1"/>
      <c r="Y14" s="1"/>
      <c r="Z14" s="1"/>
    </row>
    <row r="15" ht="17.25">
      <c r="A15" s="57"/>
      <c r="B15" s="58"/>
      <c r="C15" s="59" t="s">
        <v>44</v>
      </c>
      <c r="D15" s="60" t="s">
        <v>45</v>
      </c>
      <c r="E15" s="61">
        <v>336304.90999999997</v>
      </c>
      <c r="F15" s="61">
        <v>648829.09999999998</v>
      </c>
      <c r="G15" s="61"/>
      <c r="H15" s="62">
        <v>56483.800000000003</v>
      </c>
      <c r="I15" s="61">
        <v>638374.21000000008</v>
      </c>
      <c r="J15" s="61">
        <v>26593.620000000003</v>
      </c>
      <c r="K15" s="62">
        <f t="shared" si="8"/>
        <v>302069.3000000001</v>
      </c>
      <c r="L15" s="61">
        <f t="shared" si="9"/>
        <v>638374.21000000008</v>
      </c>
      <c r="M15" s="61">
        <f t="shared" si="10"/>
        <v>-10454.889999999898</v>
      </c>
      <c r="N15" s="73">
        <f t="shared" si="11"/>
        <v>-29890.18</v>
      </c>
      <c r="O15" s="66">
        <f t="shared" si="12"/>
        <v>1.8982006834214824</v>
      </c>
      <c r="P15" s="66">
        <f t="shared" si="13"/>
        <v>0.47081853558011327</v>
      </c>
      <c r="Q15" s="66" t="str">
        <f t="shared" si="14"/>
        <v/>
      </c>
      <c r="R15" s="68">
        <f t="shared" si="15"/>
        <v>0.98388652728430348</v>
      </c>
      <c r="S15" s="1"/>
      <c r="T15" s="1"/>
      <c r="U15" s="1"/>
      <c r="V15" s="1"/>
      <c r="W15" s="1"/>
      <c r="X15" s="1"/>
      <c r="Y15" s="1"/>
      <c r="Z15" s="1"/>
    </row>
    <row r="16" ht="17.25">
      <c r="A16" s="74"/>
      <c r="B16" s="75" t="s">
        <v>39</v>
      </c>
      <c r="C16" s="69" t="s">
        <v>46</v>
      </c>
      <c r="D16" s="76" t="s">
        <v>47</v>
      </c>
      <c r="E16" s="77">
        <v>-270.38999999999999</v>
      </c>
      <c r="F16" s="77">
        <v>0</v>
      </c>
      <c r="G16" s="62"/>
      <c r="H16" s="77">
        <v>0</v>
      </c>
      <c r="I16" s="77">
        <v>0</v>
      </c>
      <c r="J16" s="77">
        <v>0</v>
      </c>
      <c r="K16" s="77">
        <f t="shared" si="8"/>
        <v>270.38999999999999</v>
      </c>
      <c r="L16" s="62">
        <f t="shared" si="9"/>
        <v>0</v>
      </c>
      <c r="M16" s="77">
        <f t="shared" si="10"/>
        <v>0</v>
      </c>
      <c r="N16" s="62">
        <f t="shared" si="11"/>
        <v>0</v>
      </c>
      <c r="O16" s="78">
        <f t="shared" si="12"/>
        <v>0</v>
      </c>
      <c r="P16" s="65" t="str">
        <f t="shared" si="13"/>
        <v/>
      </c>
      <c r="Q16" s="78" t="str">
        <f t="shared" si="14"/>
        <v/>
      </c>
      <c r="R16" s="79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5" customFormat="1" ht="17.25">
      <c r="A17" s="80" t="s">
        <v>48</v>
      </c>
      <c r="B17" s="81"/>
      <c r="C17" s="82"/>
      <c r="D17" s="83"/>
      <c r="E17" s="40">
        <f>E21+E25+E34+E48+E56+E59+E62+E71</f>
        <v>7424583.959999999</v>
      </c>
      <c r="F17" s="40">
        <f>F21+F25+F34+F48+F56+F59+F62+F71</f>
        <v>7828488.9699999997</v>
      </c>
      <c r="G17" s="84">
        <f>G21+G25+G34+G48+G56+G59+G62+G71</f>
        <v>0</v>
      </c>
      <c r="H17" s="85">
        <f>H21+H25+H34+H48+H56+H59+H62+H71</f>
        <v>676462.10000000009</v>
      </c>
      <c r="I17" s="84">
        <f>I21+I25+I34+I48+I56+I59+I62+I71</f>
        <v>7443252.0900000008</v>
      </c>
      <c r="J17" s="85">
        <f>J21+J25+J34+J48+J56+J59+J62+J71</f>
        <v>277718.73999999993</v>
      </c>
      <c r="K17" s="84">
        <f t="shared" si="8"/>
        <v>18668.130000001751</v>
      </c>
      <c r="L17" s="84">
        <f t="shared" si="9"/>
        <v>7443252.0900000008</v>
      </c>
      <c r="M17" s="85">
        <f t="shared" si="10"/>
        <v>-385236.87999999896</v>
      </c>
      <c r="N17" s="84">
        <f t="shared" si="11"/>
        <v>-398743.36000000016</v>
      </c>
      <c r="O17" s="42">
        <f t="shared" si="12"/>
        <v>1.0025143671484593</v>
      </c>
      <c r="P17" s="43">
        <f t="shared" si="13"/>
        <v>0.41054589754547949</v>
      </c>
      <c r="Q17" s="44" t="str">
        <f t="shared" si="14"/>
        <v/>
      </c>
      <c r="R17" s="45">
        <f t="shared" si="15"/>
        <v>0.95079039116280462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17.25">
      <c r="A18" s="86" t="s">
        <v>49</v>
      </c>
      <c r="B18" s="87" t="s">
        <v>26</v>
      </c>
      <c r="C18" s="88" t="s">
        <v>50</v>
      </c>
      <c r="D18" s="89" t="s">
        <v>51</v>
      </c>
      <c r="E18" s="50">
        <v>227510.14999999999</v>
      </c>
      <c r="F18" s="50">
        <v>261278.39999999999</v>
      </c>
      <c r="G18" s="51"/>
      <c r="H18" s="50">
        <v>22175</v>
      </c>
      <c r="I18" s="90">
        <v>287086.57000000001</v>
      </c>
      <c r="J18" s="50">
        <v>14630.779999999999</v>
      </c>
      <c r="K18" s="51">
        <f t="shared" si="8"/>
        <v>59576.420000000013</v>
      </c>
      <c r="L18" s="50">
        <f t="shared" si="9"/>
        <v>287086.57000000001</v>
      </c>
      <c r="M18" s="50">
        <f t="shared" si="10"/>
        <v>25808.170000000013</v>
      </c>
      <c r="N18" s="53">
        <f t="shared" si="11"/>
        <v>-7544.2200000000012</v>
      </c>
      <c r="O18" s="54">
        <f t="shared" si="12"/>
        <v>1.2618626905217196</v>
      </c>
      <c r="P18" s="55">
        <f t="shared" si="13"/>
        <v>0.65978714768883873</v>
      </c>
      <c r="Q18" s="54" t="str">
        <f t="shared" si="14"/>
        <v/>
      </c>
      <c r="R18" s="56">
        <f t="shared" si="15"/>
        <v>1.0987765157778064</v>
      </c>
      <c r="S18" s="1"/>
      <c r="T18" s="1"/>
      <c r="U18" s="1"/>
      <c r="V18" s="1"/>
      <c r="W18" s="1"/>
      <c r="X18" s="1"/>
      <c r="Y18" s="1"/>
      <c r="Z18" s="1"/>
    </row>
    <row r="19" ht="17.25">
      <c r="A19" s="91"/>
      <c r="B19" s="92"/>
      <c r="C19" s="59" t="s">
        <v>52</v>
      </c>
      <c r="D19" s="93" t="s">
        <v>53</v>
      </c>
      <c r="E19" s="94">
        <v>4074.3499999999999</v>
      </c>
      <c r="F19" s="94">
        <v>3515.5999999999999</v>
      </c>
      <c r="G19" s="94"/>
      <c r="H19" s="95">
        <v>0</v>
      </c>
      <c r="I19" s="94">
        <v>647</v>
      </c>
      <c r="J19" s="94">
        <v>0</v>
      </c>
      <c r="K19" s="94">
        <f t="shared" si="8"/>
        <v>-3427.3499999999999</v>
      </c>
      <c r="L19" s="95">
        <f t="shared" si="9"/>
        <v>647</v>
      </c>
      <c r="M19" s="94">
        <f t="shared" si="10"/>
        <v>-2868.5999999999999</v>
      </c>
      <c r="N19" s="96">
        <f t="shared" si="11"/>
        <v>0</v>
      </c>
      <c r="O19" s="65">
        <f t="shared" si="12"/>
        <v>0.15879833593088469</v>
      </c>
      <c r="P19" s="66" t="str">
        <f t="shared" si="13"/>
        <v/>
      </c>
      <c r="Q19" s="67" t="str">
        <f t="shared" si="14"/>
        <v/>
      </c>
      <c r="R19" s="68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1"/>
      <c r="B20" s="92"/>
      <c r="C20" s="69" t="s">
        <v>54</v>
      </c>
      <c r="D20" s="97" t="s">
        <v>55</v>
      </c>
      <c r="E20" s="94">
        <v>161717.87</v>
      </c>
      <c r="F20" s="94">
        <v>240354.89999999999</v>
      </c>
      <c r="G20" s="95"/>
      <c r="H20" s="94">
        <v>22600</v>
      </c>
      <c r="I20" s="94">
        <v>250801</v>
      </c>
      <c r="J20" s="94">
        <v>11783.74</v>
      </c>
      <c r="K20" s="95">
        <f t="shared" si="8"/>
        <v>89083.130000000005</v>
      </c>
      <c r="L20" s="94">
        <f t="shared" si="9"/>
        <v>250801</v>
      </c>
      <c r="M20" s="95">
        <f t="shared" si="10"/>
        <v>10446.100000000006</v>
      </c>
      <c r="N20" s="96">
        <f t="shared" si="11"/>
        <v>-10816.26</v>
      </c>
      <c r="O20" s="66">
        <f t="shared" si="12"/>
        <v>1.5508552023347821</v>
      </c>
      <c r="P20" s="65">
        <f t="shared" si="13"/>
        <v>0.52140442477876103</v>
      </c>
      <c r="Q20" s="66" t="str">
        <f t="shared" si="14"/>
        <v/>
      </c>
      <c r="R20" s="68">
        <f t="shared" si="15"/>
        <v>1.0434611484933323</v>
      </c>
      <c r="S20" s="1"/>
      <c r="T20" s="1"/>
      <c r="U20" s="1"/>
      <c r="V20" s="1"/>
      <c r="W20" s="1"/>
      <c r="X20" s="1"/>
      <c r="Y20" s="1"/>
      <c r="Z20" s="1"/>
    </row>
    <row r="21" s="98" customFormat="1" ht="17.25">
      <c r="A21" s="91"/>
      <c r="B21" s="99"/>
      <c r="C21" s="100"/>
      <c r="D21" s="101" t="s">
        <v>56</v>
      </c>
      <c r="E21" s="102">
        <f>SUM(E18:E20)</f>
        <v>393302.37</v>
      </c>
      <c r="F21" s="102">
        <f>SUM(F18:F20)</f>
        <v>505148.90000000002</v>
      </c>
      <c r="G21" s="102">
        <f>SUM(G18:G20)</f>
        <v>0</v>
      </c>
      <c r="H21" s="103">
        <f>SUM(H18:H20)</f>
        <v>44775</v>
      </c>
      <c r="I21" s="102">
        <f>SUM(I18:I20)</f>
        <v>538534.57000000007</v>
      </c>
      <c r="J21" s="103">
        <f>SUM(J18:J20)</f>
        <v>26414.519999999997</v>
      </c>
      <c r="K21" s="102">
        <f t="shared" si="8"/>
        <v>145232.20000000007</v>
      </c>
      <c r="L21" s="103">
        <f t="shared" si="9"/>
        <v>538534.57000000007</v>
      </c>
      <c r="M21" s="102">
        <f t="shared" si="10"/>
        <v>33385.670000000042</v>
      </c>
      <c r="N21" s="103">
        <f t="shared" si="11"/>
        <v>-18360.480000000003</v>
      </c>
      <c r="O21" s="104">
        <f t="shared" si="12"/>
        <v>1.369263475325613</v>
      </c>
      <c r="P21" s="104">
        <f t="shared" si="13"/>
        <v>0.58993902847571178</v>
      </c>
      <c r="Q21" s="104" t="str">
        <f t="shared" si="14"/>
        <v/>
      </c>
      <c r="R21" s="105">
        <f t="shared" si="15"/>
        <v>1.0660907506677735</v>
      </c>
      <c r="S21" s="98"/>
      <c r="T21" s="98"/>
      <c r="U21" s="98"/>
      <c r="V21" s="98"/>
      <c r="W21" s="98"/>
      <c r="X21" s="98"/>
      <c r="Y21" s="98"/>
      <c r="Z21" s="98"/>
      <c r="AA21" s="98"/>
      <c r="AB21" s="98"/>
    </row>
    <row r="22" ht="17.25">
      <c r="A22" s="106">
        <v>951</v>
      </c>
      <c r="B22" s="87" t="s">
        <v>23</v>
      </c>
      <c r="C22" s="107" t="s">
        <v>57</v>
      </c>
      <c r="D22" s="108" t="s">
        <v>58</v>
      </c>
      <c r="E22" s="50">
        <v>108842.03</v>
      </c>
      <c r="F22" s="50">
        <v>104746.7</v>
      </c>
      <c r="G22" s="51"/>
      <c r="H22" s="50">
        <v>11757.1</v>
      </c>
      <c r="I22" s="109">
        <v>140673.34</v>
      </c>
      <c r="J22" s="50">
        <v>9312.9099999999999</v>
      </c>
      <c r="K22" s="50">
        <f t="shared" si="8"/>
        <v>31831.309999999998</v>
      </c>
      <c r="L22" s="50">
        <f t="shared" si="9"/>
        <v>140673.34</v>
      </c>
      <c r="M22" s="51">
        <f t="shared" si="10"/>
        <v>35926.639999999999</v>
      </c>
      <c r="N22" s="50">
        <f t="shared" si="11"/>
        <v>-2444.1900000000005</v>
      </c>
      <c r="O22" s="55">
        <f t="shared" si="12"/>
        <v>1.2924542109330375</v>
      </c>
      <c r="P22" s="54">
        <f t="shared" si="13"/>
        <v>0.79210944875862244</v>
      </c>
      <c r="Q22" s="110" t="str">
        <f t="shared" si="14"/>
        <v/>
      </c>
      <c r="R22" s="56">
        <f t="shared" si="15"/>
        <v>1.3429858888155903</v>
      </c>
      <c r="S22" s="1"/>
      <c r="T22" s="1"/>
      <c r="U22" s="1"/>
      <c r="V22" s="1"/>
      <c r="W22" s="1"/>
      <c r="X22" s="1"/>
      <c r="Y22" s="1"/>
      <c r="Z22" s="1"/>
    </row>
    <row r="23" ht="17.25">
      <c r="A23" s="111"/>
      <c r="B23" s="92"/>
      <c r="C23" s="112" t="s">
        <v>59</v>
      </c>
      <c r="D23" s="93" t="s">
        <v>60</v>
      </c>
      <c r="E23" s="94">
        <v>15156.48</v>
      </c>
      <c r="F23" s="94">
        <v>11046.9</v>
      </c>
      <c r="G23" s="94"/>
      <c r="H23" s="94">
        <v>728.89999999999998</v>
      </c>
      <c r="I23" s="94">
        <v>15454.09</v>
      </c>
      <c r="J23" s="94">
        <v>1021.75</v>
      </c>
      <c r="K23" s="94">
        <f t="shared" si="8"/>
        <v>297.61000000000058</v>
      </c>
      <c r="L23" s="94">
        <f t="shared" si="9"/>
        <v>15454.09</v>
      </c>
      <c r="M23" s="94">
        <f t="shared" si="10"/>
        <v>4407.1900000000005</v>
      </c>
      <c r="N23" s="94">
        <f t="shared" si="11"/>
        <v>292.85000000000002</v>
      </c>
      <c r="O23" s="66">
        <f t="shared" si="12"/>
        <v>1.0196358257326239</v>
      </c>
      <c r="P23" s="66">
        <f t="shared" si="13"/>
        <v>1.4017697900946633</v>
      </c>
      <c r="Q23" s="66" t="str">
        <f t="shared" si="14"/>
        <v/>
      </c>
      <c r="R23" s="68">
        <f t="shared" si="15"/>
        <v>1.3989526473490301</v>
      </c>
      <c r="S23" s="1"/>
      <c r="T23" s="1"/>
      <c r="U23" s="1"/>
      <c r="V23" s="1"/>
      <c r="W23" s="1"/>
      <c r="X23" s="1"/>
      <c r="Y23" s="1"/>
      <c r="Z23" s="1"/>
    </row>
    <row r="24" ht="17.25">
      <c r="A24" s="113"/>
      <c r="B24" s="114"/>
      <c r="C24" s="115" t="s">
        <v>61</v>
      </c>
      <c r="D24" s="116" t="s">
        <v>62</v>
      </c>
      <c r="E24" s="94">
        <v>406.38999999999999</v>
      </c>
      <c r="F24" s="117">
        <v>1050.9000000000001</v>
      </c>
      <c r="G24" s="117"/>
      <c r="H24" s="95">
        <v>88.200000000000003</v>
      </c>
      <c r="I24" s="94">
        <v>2576.71</v>
      </c>
      <c r="J24" s="118">
        <v>106.40000000000001</v>
      </c>
      <c r="K24" s="94">
        <f t="shared" si="8"/>
        <v>2170.3200000000002</v>
      </c>
      <c r="L24" s="94">
        <f t="shared" si="9"/>
        <v>2576.71</v>
      </c>
      <c r="M24" s="94">
        <f t="shared" si="10"/>
        <v>1525.8099999999999</v>
      </c>
      <c r="N24" s="95">
        <f t="shared" si="11"/>
        <v>18.200000000000003</v>
      </c>
      <c r="O24" s="66">
        <f t="shared" si="12"/>
        <v>6.3404857402987282</v>
      </c>
      <c r="P24" s="65">
        <f t="shared" si="13"/>
        <v>1.2063492063492063</v>
      </c>
      <c r="Q24" s="66" t="str">
        <f t="shared" si="14"/>
        <v/>
      </c>
      <c r="R24" s="68">
        <f t="shared" si="15"/>
        <v>2.4519078884765437</v>
      </c>
      <c r="S24" s="1"/>
      <c r="T24" s="1"/>
      <c r="U24" s="1"/>
      <c r="V24" s="1"/>
      <c r="W24" s="1"/>
      <c r="X24" s="1"/>
      <c r="Y24" s="1"/>
      <c r="Z24" s="1"/>
    </row>
    <row r="25" s="98" customFormat="1" ht="17.25">
      <c r="A25" s="113"/>
      <c r="B25" s="99"/>
      <c r="C25" s="119"/>
      <c r="D25" s="120" t="s">
        <v>56</v>
      </c>
      <c r="E25" s="102">
        <f>E22+E23+E24</f>
        <v>124404.89999999999</v>
      </c>
      <c r="F25" s="102">
        <f>F22+F23+F24</f>
        <v>116844.49999999999</v>
      </c>
      <c r="G25" s="102">
        <f>G22+G23+G24</f>
        <v>0</v>
      </c>
      <c r="H25" s="102">
        <f>H22+H23+H24</f>
        <v>12574.200000000001</v>
      </c>
      <c r="I25" s="102">
        <f>I22+I23+I24</f>
        <v>158704.13999999998</v>
      </c>
      <c r="J25" s="102">
        <f>J22+J23+J24</f>
        <v>10441.059999999999</v>
      </c>
      <c r="K25" s="102">
        <f t="shared" si="8"/>
        <v>34299.239999999991</v>
      </c>
      <c r="L25" s="102">
        <f t="shared" si="9"/>
        <v>158704.13999999998</v>
      </c>
      <c r="M25" s="103">
        <f t="shared" si="10"/>
        <v>41859.639999999999</v>
      </c>
      <c r="N25" s="102">
        <f t="shared" si="11"/>
        <v>-2133.1400000000012</v>
      </c>
      <c r="O25" s="121">
        <f t="shared" si="12"/>
        <v>1.2757065035219672</v>
      </c>
      <c r="P25" s="104">
        <f t="shared" si="13"/>
        <v>0.83035580792416208</v>
      </c>
      <c r="Q25" s="122" t="str">
        <f t="shared" si="14"/>
        <v/>
      </c>
      <c r="R25" s="105">
        <f t="shared" si="15"/>
        <v>1.3582508376517508</v>
      </c>
      <c r="S25" s="98"/>
      <c r="T25" s="98"/>
      <c r="U25" s="98"/>
      <c r="V25" s="98"/>
      <c r="W25" s="98"/>
      <c r="X25" s="98"/>
      <c r="Y25" s="98"/>
      <c r="Z25" s="98"/>
      <c r="AA25" s="98"/>
      <c r="AB25" s="98"/>
    </row>
    <row r="26" ht="17.25">
      <c r="A26" s="86" t="s">
        <v>63</v>
      </c>
      <c r="B26" s="87" t="s">
        <v>64</v>
      </c>
      <c r="C26" s="123" t="s">
        <v>65</v>
      </c>
      <c r="D26" s="124" t="s">
        <v>66</v>
      </c>
      <c r="E26" s="50">
        <v>7403.8299999999999</v>
      </c>
      <c r="F26" s="50">
        <v>7680</v>
      </c>
      <c r="G26" s="50"/>
      <c r="H26" s="51">
        <v>0</v>
      </c>
      <c r="I26" s="50">
        <v>0</v>
      </c>
      <c r="J26" s="50">
        <v>0</v>
      </c>
      <c r="K26" s="50">
        <f t="shared" si="8"/>
        <v>-7403.8299999999999</v>
      </c>
      <c r="L26" s="51">
        <f t="shared" si="9"/>
        <v>0</v>
      </c>
      <c r="M26" s="50">
        <f t="shared" si="10"/>
        <v>-7680</v>
      </c>
      <c r="N26" s="51">
        <f t="shared" si="11"/>
        <v>0</v>
      </c>
      <c r="O26" s="54">
        <f t="shared" si="12"/>
        <v>0</v>
      </c>
      <c r="P26" s="55" t="str">
        <f t="shared" si="13"/>
        <v/>
      </c>
      <c r="Q26" s="54" t="str">
        <f t="shared" si="14"/>
        <v/>
      </c>
      <c r="R26" s="56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6"/>
      <c r="B27" s="92"/>
      <c r="C27" s="69" t="s">
        <v>67</v>
      </c>
      <c r="D27" s="125" t="s">
        <v>68</v>
      </c>
      <c r="E27" s="94">
        <v>73766.419999999998</v>
      </c>
      <c r="F27" s="117">
        <v>80987</v>
      </c>
      <c r="G27" s="95"/>
      <c r="H27" s="94">
        <v>7887</v>
      </c>
      <c r="I27" s="109">
        <v>74767.940000000002</v>
      </c>
      <c r="J27" s="94">
        <v>1896.45</v>
      </c>
      <c r="K27" s="94">
        <f t="shared" si="8"/>
        <v>1001.5200000000041</v>
      </c>
      <c r="L27" s="94">
        <f t="shared" si="9"/>
        <v>74767.940000000002</v>
      </c>
      <c r="M27" s="95">
        <f t="shared" si="10"/>
        <v>-6219.0599999999977</v>
      </c>
      <c r="N27" s="94">
        <f t="shared" si="11"/>
        <v>-5990.5500000000002</v>
      </c>
      <c r="O27" s="65">
        <f t="shared" si="12"/>
        <v>1.0135769093850564</v>
      </c>
      <c r="P27" s="66">
        <f t="shared" si="13"/>
        <v>0.24045264359071891</v>
      </c>
      <c r="Q27" s="67" t="str">
        <f t="shared" si="14"/>
        <v/>
      </c>
      <c r="R27" s="68">
        <f t="shared" si="15"/>
        <v>0.92320915702520157</v>
      </c>
      <c r="S27" s="1"/>
      <c r="T27" s="1"/>
      <c r="U27" s="1"/>
      <c r="V27" s="1"/>
      <c r="W27" s="1"/>
      <c r="X27" s="1"/>
      <c r="Y27" s="1"/>
      <c r="Z27" s="1"/>
    </row>
    <row r="28" ht="17.25">
      <c r="A28" s="86"/>
      <c r="B28" s="92"/>
      <c r="C28" s="126" t="s">
        <v>69</v>
      </c>
      <c r="D28" s="127" t="s">
        <v>70</v>
      </c>
      <c r="E28" s="94">
        <v>1254.3599999999999</v>
      </c>
      <c r="F28" s="94">
        <v>557</v>
      </c>
      <c r="G28" s="94"/>
      <c r="H28" s="95">
        <v>46.5</v>
      </c>
      <c r="I28" s="94">
        <v>1303.6700000000001</v>
      </c>
      <c r="J28" s="94">
        <v>49.840000000000003</v>
      </c>
      <c r="K28" s="94">
        <f t="shared" si="8"/>
        <v>49.310000000000173</v>
      </c>
      <c r="L28" s="95">
        <f t="shared" si="9"/>
        <v>1303.6700000000001</v>
      </c>
      <c r="M28" s="94">
        <f t="shared" si="10"/>
        <v>746.67000000000007</v>
      </c>
      <c r="N28" s="95">
        <f t="shared" si="11"/>
        <v>3.3400000000000034</v>
      </c>
      <c r="O28" s="66">
        <f t="shared" si="12"/>
        <v>1.0393108836378713</v>
      </c>
      <c r="P28" s="65">
        <f t="shared" si="13"/>
        <v>1.0718279569892475</v>
      </c>
      <c r="Q28" s="66" t="str">
        <f t="shared" si="14"/>
        <v/>
      </c>
      <c r="R28" s="68">
        <f t="shared" si="15"/>
        <v>2.3405206463195691</v>
      </c>
      <c r="S28" s="1"/>
      <c r="T28" s="1"/>
      <c r="U28" s="1"/>
      <c r="V28" s="1"/>
      <c r="W28" s="1"/>
      <c r="X28" s="1"/>
      <c r="Y28" s="1"/>
      <c r="Z28" s="1"/>
    </row>
    <row r="29" ht="17.25">
      <c r="A29" s="86"/>
      <c r="B29" s="92"/>
      <c r="C29" s="3" t="s">
        <v>71</v>
      </c>
      <c r="D29" s="128" t="s">
        <v>72</v>
      </c>
      <c r="E29" s="94">
        <v>0</v>
      </c>
      <c r="F29" s="94">
        <v>13867.5</v>
      </c>
      <c r="G29" s="95"/>
      <c r="H29" s="94">
        <v>10867.5</v>
      </c>
      <c r="I29" s="94">
        <v>16560</v>
      </c>
      <c r="J29" s="94">
        <v>0</v>
      </c>
      <c r="K29" s="94">
        <f t="shared" si="8"/>
        <v>16560</v>
      </c>
      <c r="L29" s="94">
        <f t="shared" si="9"/>
        <v>16560</v>
      </c>
      <c r="M29" s="95">
        <f t="shared" si="10"/>
        <v>2692.5</v>
      </c>
      <c r="N29" s="94">
        <f t="shared" si="11"/>
        <v>-10867.5</v>
      </c>
      <c r="O29" s="65" t="str">
        <f t="shared" si="12"/>
        <v/>
      </c>
      <c r="P29" s="66">
        <f t="shared" si="13"/>
        <v>0</v>
      </c>
      <c r="Q29" s="67" t="str">
        <f t="shared" si="14"/>
        <v/>
      </c>
      <c r="R29" s="68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6"/>
      <c r="B30" s="92"/>
      <c r="C30" s="126" t="s">
        <v>73</v>
      </c>
      <c r="D30" s="127" t="s">
        <v>74</v>
      </c>
      <c r="E30" s="94">
        <f>E31+E33+E32</f>
        <v>317333.73999999999</v>
      </c>
      <c r="F30" s="94">
        <f>F31+F33+F32</f>
        <v>84753.799999999988</v>
      </c>
      <c r="G30" s="94">
        <f>G31+G33+G32</f>
        <v>0</v>
      </c>
      <c r="H30" s="94">
        <f>H31+H33+H32</f>
        <v>5195.8999999999996</v>
      </c>
      <c r="I30" s="94">
        <f>I31+I33+I32</f>
        <v>92294.799999999988</v>
      </c>
      <c r="J30" s="95">
        <f>J31+J33+J32</f>
        <v>1378.05</v>
      </c>
      <c r="K30" s="94">
        <f t="shared" si="8"/>
        <v>-225038.94</v>
      </c>
      <c r="L30" s="95">
        <f t="shared" si="9"/>
        <v>92294.799999999988</v>
      </c>
      <c r="M30" s="94">
        <f t="shared" si="10"/>
        <v>7541</v>
      </c>
      <c r="N30" s="95">
        <f t="shared" si="11"/>
        <v>-3817.8499999999995</v>
      </c>
      <c r="O30" s="66">
        <f t="shared" si="12"/>
        <v>0.29084458526219115</v>
      </c>
      <c r="P30" s="65">
        <f t="shared" si="13"/>
        <v>0.26521873015262032</v>
      </c>
      <c r="Q30" s="66" t="str">
        <f t="shared" si="14"/>
        <v/>
      </c>
      <c r="R30" s="68">
        <f t="shared" si="15"/>
        <v>1.0889753615767082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29" customFormat="1" ht="17.25">
      <c r="A31" s="130"/>
      <c r="B31" s="131"/>
      <c r="C31" s="132" t="s">
        <v>75</v>
      </c>
      <c r="D31" s="133" t="s">
        <v>76</v>
      </c>
      <c r="E31" s="134">
        <v>287116.22999999998</v>
      </c>
      <c r="F31" s="134">
        <v>45675.099999999999</v>
      </c>
      <c r="G31" s="135"/>
      <c r="H31" s="134">
        <v>1255.2</v>
      </c>
      <c r="I31" s="134">
        <v>59048.559999999998</v>
      </c>
      <c r="J31" s="134">
        <v>0</v>
      </c>
      <c r="K31" s="134">
        <f t="shared" si="8"/>
        <v>-228067.66999999998</v>
      </c>
      <c r="L31" s="134">
        <f t="shared" si="9"/>
        <v>59048.559999999998</v>
      </c>
      <c r="M31" s="135">
        <f t="shared" si="10"/>
        <v>13373.459999999999</v>
      </c>
      <c r="N31" s="134">
        <f t="shared" si="11"/>
        <v>-1255.2</v>
      </c>
      <c r="O31" s="136">
        <f t="shared" si="12"/>
        <v>0.20566082244810752</v>
      </c>
      <c r="P31" s="137">
        <f t="shared" si="13"/>
        <v>0</v>
      </c>
      <c r="Q31" s="138" t="str">
        <f t="shared" si="14"/>
        <v/>
      </c>
      <c r="R31" s="139">
        <f t="shared" si="15"/>
        <v>1.292795418072429</v>
      </c>
      <c r="S31" s="129"/>
      <c r="T31" s="129"/>
      <c r="U31" s="129"/>
      <c r="V31" s="129"/>
      <c r="W31" s="129"/>
      <c r="X31" s="129"/>
      <c r="Y31" s="129"/>
      <c r="Z31" s="129"/>
    </row>
    <row r="32" s="129" customFormat="1" ht="17.25">
      <c r="A32" s="130"/>
      <c r="B32" s="131"/>
      <c r="C32" s="140" t="s">
        <v>77</v>
      </c>
      <c r="D32" s="141" t="s">
        <v>78</v>
      </c>
      <c r="E32" s="134">
        <v>0</v>
      </c>
      <c r="F32" s="134">
        <v>481</v>
      </c>
      <c r="G32" s="134"/>
      <c r="H32" s="134">
        <v>23.399999999999999</v>
      </c>
      <c r="I32" s="134">
        <v>0</v>
      </c>
      <c r="J32" s="134">
        <v>0</v>
      </c>
      <c r="K32" s="134">
        <f t="shared" si="8"/>
        <v>0</v>
      </c>
      <c r="L32" s="135">
        <f t="shared" si="9"/>
        <v>0</v>
      </c>
      <c r="M32" s="134">
        <f t="shared" si="10"/>
        <v>-481</v>
      </c>
      <c r="N32" s="135">
        <f t="shared" si="11"/>
        <v>-23.399999999999999</v>
      </c>
      <c r="O32" s="142" t="str">
        <f t="shared" si="12"/>
        <v/>
      </c>
      <c r="P32" s="143">
        <f t="shared" si="13"/>
        <v>0</v>
      </c>
      <c r="Q32" s="137" t="str">
        <f t="shared" si="14"/>
        <v/>
      </c>
      <c r="R32" s="139">
        <f t="shared" si="15"/>
        <v>0</v>
      </c>
      <c r="S32" s="129"/>
      <c r="T32" s="129"/>
      <c r="U32" s="129"/>
      <c r="V32" s="129"/>
      <c r="W32" s="129"/>
      <c r="X32" s="129"/>
      <c r="Y32" s="129"/>
      <c r="Z32" s="129"/>
    </row>
    <row r="33" s="129" customFormat="1" ht="17.25">
      <c r="A33" s="130"/>
      <c r="B33" s="131"/>
      <c r="C33" s="132" t="s">
        <v>79</v>
      </c>
      <c r="D33" s="133" t="s">
        <v>80</v>
      </c>
      <c r="E33" s="144">
        <v>30217.509999999998</v>
      </c>
      <c r="F33" s="145">
        <v>38597.699999999997</v>
      </c>
      <c r="G33" s="135"/>
      <c r="H33" s="134">
        <v>3917.3000000000002</v>
      </c>
      <c r="I33" s="135">
        <v>33246.239999999998</v>
      </c>
      <c r="J33" s="134">
        <v>1378.05</v>
      </c>
      <c r="K33" s="134">
        <f t="shared" si="8"/>
        <v>3028.7299999999996</v>
      </c>
      <c r="L33" s="134">
        <f t="shared" si="9"/>
        <v>33246.239999999998</v>
      </c>
      <c r="M33" s="135">
        <f t="shared" si="10"/>
        <v>-5351.4599999999991</v>
      </c>
      <c r="N33" s="134">
        <f t="shared" si="11"/>
        <v>-2539.25</v>
      </c>
      <c r="O33" s="136">
        <f t="shared" si="12"/>
        <v>1.1002309588050108</v>
      </c>
      <c r="P33" s="137">
        <f t="shared" si="13"/>
        <v>0.35178566870038036</v>
      </c>
      <c r="Q33" s="138" t="str">
        <f t="shared" si="14"/>
        <v/>
      </c>
      <c r="R33" s="139">
        <f t="shared" si="15"/>
        <v>0.8613528785393948</v>
      </c>
      <c r="S33" s="129"/>
      <c r="T33" s="129"/>
      <c r="U33" s="129"/>
      <c r="V33" s="129"/>
      <c r="W33" s="129"/>
      <c r="X33" s="129"/>
      <c r="Y33" s="129"/>
      <c r="Z33" s="129"/>
    </row>
    <row r="34" s="98" customFormat="1" ht="17.25">
      <c r="A34" s="86"/>
      <c r="B34" s="146"/>
      <c r="C34" s="100"/>
      <c r="D34" s="101" t="s">
        <v>56</v>
      </c>
      <c r="E34" s="147">
        <f>SUM(E26:E30)</f>
        <v>399758.34999999998</v>
      </c>
      <c r="F34" s="118">
        <f>SUM(F26:F30)</f>
        <v>187845.29999999999</v>
      </c>
      <c r="G34" s="102">
        <f>SUM(G26:G30)</f>
        <v>0</v>
      </c>
      <c r="H34" s="103">
        <f>SUM(H26:H30)</f>
        <v>23996.900000000001</v>
      </c>
      <c r="I34" s="102">
        <f>SUM(I26:I30)</f>
        <v>184926.40999999997</v>
      </c>
      <c r="J34" s="103">
        <f>SUM(J26:J30)</f>
        <v>3324.3400000000001</v>
      </c>
      <c r="K34" s="102">
        <f t="shared" si="8"/>
        <v>-214831.94</v>
      </c>
      <c r="L34" s="103">
        <f t="shared" si="9"/>
        <v>184926.40999999997</v>
      </c>
      <c r="M34" s="102">
        <f t="shared" si="10"/>
        <v>-2918.890000000014</v>
      </c>
      <c r="N34" s="103">
        <f t="shared" si="11"/>
        <v>-20672.560000000001</v>
      </c>
      <c r="O34" s="104">
        <f t="shared" si="12"/>
        <v>0.4625954905006987</v>
      </c>
      <c r="P34" s="121">
        <f t="shared" si="13"/>
        <v>0.13853206039113386</v>
      </c>
      <c r="Q34" s="104" t="str">
        <f t="shared" si="14"/>
        <v/>
      </c>
      <c r="R34" s="105">
        <f t="shared" si="15"/>
        <v>0.98446120291537764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</row>
    <row r="35" ht="17.25">
      <c r="A35" s="86" t="s">
        <v>81</v>
      </c>
      <c r="B35" s="148" t="s">
        <v>39</v>
      </c>
      <c r="C35" s="149" t="s">
        <v>82</v>
      </c>
      <c r="D35" s="108" t="s">
        <v>83</v>
      </c>
      <c r="E35" s="50">
        <v>276314.64000000001</v>
      </c>
      <c r="F35" s="150">
        <v>293156.20000000001</v>
      </c>
      <c r="G35" s="51"/>
      <c r="H35" s="50">
        <v>8356.2000000000007</v>
      </c>
      <c r="I35" s="90">
        <v>273348.87</v>
      </c>
      <c r="J35" s="50">
        <v>6130.4099999999999</v>
      </c>
      <c r="K35" s="50">
        <f t="shared" si="8"/>
        <v>-2965.7700000000186</v>
      </c>
      <c r="L35" s="50">
        <f t="shared" si="9"/>
        <v>273348.87</v>
      </c>
      <c r="M35" s="51">
        <f t="shared" si="10"/>
        <v>-19807.330000000016</v>
      </c>
      <c r="N35" s="50">
        <f t="shared" si="11"/>
        <v>-2225.7900000000009</v>
      </c>
      <c r="O35" s="55">
        <f t="shared" si="12"/>
        <v>0.98926669249229782</v>
      </c>
      <c r="P35" s="54">
        <f t="shared" si="13"/>
        <v>0.73363610253464484</v>
      </c>
      <c r="Q35" s="110" t="str">
        <f t="shared" si="14"/>
        <v/>
      </c>
      <c r="R35" s="56">
        <f t="shared" si="15"/>
        <v>0.93243421084050071</v>
      </c>
      <c r="S35" s="1"/>
      <c r="T35" s="1"/>
      <c r="U35" s="1"/>
      <c r="V35" s="1"/>
      <c r="W35" s="1"/>
      <c r="X35" s="1"/>
      <c r="Y35" s="1"/>
      <c r="Z35" s="1"/>
    </row>
    <row r="36" ht="34.5">
      <c r="A36" s="91"/>
      <c r="B36" s="151"/>
      <c r="C36" s="59" t="s">
        <v>84</v>
      </c>
      <c r="D36" s="127" t="s">
        <v>85</v>
      </c>
      <c r="E36" s="94">
        <v>72984.800000000003</v>
      </c>
      <c r="F36" s="94">
        <v>100194.10000000001</v>
      </c>
      <c r="G36" s="94"/>
      <c r="H36" s="95">
        <v>252.09999999999999</v>
      </c>
      <c r="I36" s="94">
        <v>226425.97</v>
      </c>
      <c r="J36" s="94">
        <v>9509.0900000000001</v>
      </c>
      <c r="K36" s="94">
        <f t="shared" si="8"/>
        <v>153441.16999999998</v>
      </c>
      <c r="L36" s="95">
        <f t="shared" si="9"/>
        <v>226425.97</v>
      </c>
      <c r="M36" s="94">
        <f t="shared" si="10"/>
        <v>126231.87</v>
      </c>
      <c r="N36" s="95">
        <f t="shared" si="11"/>
        <v>9256.9899999999998</v>
      </c>
      <c r="O36" s="66">
        <f t="shared" si="12"/>
        <v>3.1023715897008692</v>
      </c>
      <c r="P36" s="65">
        <f t="shared" si="13"/>
        <v>37.719516065053554</v>
      </c>
      <c r="Q36" s="66" t="str">
        <f t="shared" si="14"/>
        <v/>
      </c>
      <c r="R36" s="68">
        <f t="shared" si="15"/>
        <v>2.2598732859519672</v>
      </c>
      <c r="S36" s="1"/>
      <c r="T36" s="1"/>
      <c r="U36" s="1"/>
      <c r="V36" s="1"/>
      <c r="W36" s="1"/>
      <c r="X36" s="1"/>
      <c r="Y36" s="1"/>
      <c r="Z36" s="1"/>
    </row>
    <row r="37" ht="34.5">
      <c r="A37" s="91"/>
      <c r="B37" s="151"/>
      <c r="C37" s="69" t="s">
        <v>86</v>
      </c>
      <c r="D37" s="152" t="s">
        <v>87</v>
      </c>
      <c r="E37" s="94">
        <v>42799.489999999998</v>
      </c>
      <c r="F37" s="94">
        <v>53573.900000000001</v>
      </c>
      <c r="G37" s="95"/>
      <c r="H37" s="94">
        <v>1747.9000000000001</v>
      </c>
      <c r="I37" s="109">
        <v>85497.889999999999</v>
      </c>
      <c r="J37" s="94">
        <v>314.20999999999998</v>
      </c>
      <c r="K37" s="94">
        <f t="shared" si="8"/>
        <v>42698.400000000001</v>
      </c>
      <c r="L37" s="94">
        <f t="shared" si="9"/>
        <v>85497.889999999999</v>
      </c>
      <c r="M37" s="95">
        <f t="shared" si="10"/>
        <v>31923.989999999998</v>
      </c>
      <c r="N37" s="94">
        <f t="shared" si="11"/>
        <v>-1433.6900000000001</v>
      </c>
      <c r="O37" s="65">
        <f t="shared" si="12"/>
        <v>1.9976380559674893</v>
      </c>
      <c r="P37" s="66">
        <f t="shared" si="13"/>
        <v>0.17976428857486124</v>
      </c>
      <c r="Q37" s="67" t="str">
        <f t="shared" si="14"/>
        <v/>
      </c>
      <c r="R37" s="68">
        <f t="shared" si="15"/>
        <v>1.595886989746873</v>
      </c>
      <c r="S37" s="1"/>
      <c r="T37" s="1"/>
      <c r="U37" s="1"/>
      <c r="V37" s="1"/>
      <c r="W37" s="1"/>
      <c r="X37" s="1"/>
      <c r="Y37" s="1"/>
      <c r="Z37" s="1"/>
    </row>
    <row r="38" ht="34.5">
      <c r="A38" s="91"/>
      <c r="B38" s="151"/>
      <c r="C38" s="59" t="s">
        <v>88</v>
      </c>
      <c r="D38" s="127" t="s">
        <v>89</v>
      </c>
      <c r="E38" s="94">
        <v>413235.04999999999</v>
      </c>
      <c r="F38" s="94">
        <v>115809.2</v>
      </c>
      <c r="G38" s="94"/>
      <c r="H38" s="95">
        <v>0</v>
      </c>
      <c r="I38" s="94">
        <v>12807.35</v>
      </c>
      <c r="J38" s="94">
        <v>54</v>
      </c>
      <c r="K38" s="94">
        <f t="shared" si="8"/>
        <v>-400427.70000000001</v>
      </c>
      <c r="L38" s="94">
        <f t="shared" si="9"/>
        <v>12807.35</v>
      </c>
      <c r="M38" s="94">
        <f t="shared" si="10"/>
        <v>-103001.84999999999</v>
      </c>
      <c r="N38" s="94">
        <f t="shared" si="11"/>
        <v>54</v>
      </c>
      <c r="O38" s="66">
        <f t="shared" si="12"/>
        <v>0.030992893753809123</v>
      </c>
      <c r="P38" s="66" t="str">
        <f t="shared" si="13"/>
        <v/>
      </c>
      <c r="Q38" s="66" t="str">
        <f t="shared" si="14"/>
        <v/>
      </c>
      <c r="R38" s="68">
        <f t="shared" si="15"/>
        <v>0.1105900912880842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1"/>
      <c r="B39" s="151"/>
      <c r="C39" s="112" t="s">
        <v>69</v>
      </c>
      <c r="D39" s="128" t="s">
        <v>70</v>
      </c>
      <c r="E39" s="94">
        <v>3006.6599999999999</v>
      </c>
      <c r="F39" s="94">
        <v>3014.8000000000002</v>
      </c>
      <c r="G39" s="94"/>
      <c r="H39" s="94">
        <v>424.80000000000001</v>
      </c>
      <c r="I39" s="94">
        <v>3806.8299999999999</v>
      </c>
      <c r="J39" s="94">
        <v>1479.49</v>
      </c>
      <c r="K39" s="94">
        <f t="shared" si="8"/>
        <v>800.17000000000007</v>
      </c>
      <c r="L39" s="95">
        <f t="shared" si="9"/>
        <v>3806.8299999999999</v>
      </c>
      <c r="M39" s="94">
        <f t="shared" si="10"/>
        <v>792.02999999999975</v>
      </c>
      <c r="N39" s="95">
        <f t="shared" si="11"/>
        <v>1054.6900000000001</v>
      </c>
      <c r="O39" s="66">
        <f t="shared" si="12"/>
        <v>1.2661325191408408</v>
      </c>
      <c r="P39" s="65">
        <f t="shared" si="13"/>
        <v>3.482791902071563</v>
      </c>
      <c r="Q39" s="66" t="str">
        <f t="shared" si="14"/>
        <v/>
      </c>
      <c r="R39" s="68">
        <f t="shared" si="15"/>
        <v>1.262713944540268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="1" customFormat="1" ht="17.25">
      <c r="A40" s="91"/>
      <c r="B40" s="151"/>
      <c r="C40" s="69" t="s">
        <v>90</v>
      </c>
      <c r="D40" s="152" t="s">
        <v>91</v>
      </c>
      <c r="E40" s="94">
        <v>3962.8000000000002</v>
      </c>
      <c r="F40" s="94">
        <v>3436.3000000000002</v>
      </c>
      <c r="G40" s="95"/>
      <c r="H40" s="94">
        <v>963.29999999999995</v>
      </c>
      <c r="I40" s="109">
        <v>2959.9400000000001</v>
      </c>
      <c r="J40" s="94">
        <v>-25.329999999999998</v>
      </c>
      <c r="K40" s="94">
        <f t="shared" si="8"/>
        <v>-1002.8600000000001</v>
      </c>
      <c r="L40" s="94">
        <f t="shared" si="9"/>
        <v>2959.9400000000001</v>
      </c>
      <c r="M40" s="95">
        <f t="shared" si="10"/>
        <v>-476.36000000000013</v>
      </c>
      <c r="N40" s="94">
        <f t="shared" si="11"/>
        <v>-988.63</v>
      </c>
      <c r="O40" s="65">
        <f t="shared" si="12"/>
        <v>0.74693146260220045</v>
      </c>
      <c r="P40" s="66">
        <f t="shared" si="13"/>
        <v>-0.026295027509602407</v>
      </c>
      <c r="Q40" s="67" t="str">
        <f t="shared" si="14"/>
        <v/>
      </c>
      <c r="R40" s="68">
        <f t="shared" si="15"/>
        <v>0.86137415243139426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1"/>
      <c r="B41" s="151"/>
      <c r="C41" s="59" t="s">
        <v>92</v>
      </c>
      <c r="D41" s="93" t="s">
        <v>93</v>
      </c>
      <c r="E41" s="94">
        <v>1419.3299999999999</v>
      </c>
      <c r="F41" s="94">
        <v>0</v>
      </c>
      <c r="G41" s="94"/>
      <c r="H41" s="95">
        <v>0</v>
      </c>
      <c r="I41" s="94">
        <v>1031.02</v>
      </c>
      <c r="J41" s="94">
        <v>14.26</v>
      </c>
      <c r="K41" s="94">
        <f t="shared" si="8"/>
        <v>-388.30999999999995</v>
      </c>
      <c r="L41" s="94">
        <f t="shared" si="9"/>
        <v>1031.02</v>
      </c>
      <c r="M41" s="94">
        <f t="shared" si="10"/>
        <v>1031.02</v>
      </c>
      <c r="N41" s="95">
        <f t="shared" si="11"/>
        <v>14.26</v>
      </c>
      <c r="O41" s="66">
        <f t="shared" si="12"/>
        <v>0.7264131667758732</v>
      </c>
      <c r="P41" s="65" t="str">
        <f t="shared" si="13"/>
        <v/>
      </c>
      <c r="Q41" s="66" t="str">
        <f t="shared" si="14"/>
        <v/>
      </c>
      <c r="R41" s="68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1"/>
      <c r="B42" s="151"/>
      <c r="C42" s="3" t="s">
        <v>94</v>
      </c>
      <c r="D42" s="153" t="s">
        <v>95</v>
      </c>
      <c r="E42" s="94">
        <v>216763.95999999999</v>
      </c>
      <c r="F42" s="94">
        <v>202788.70000000001</v>
      </c>
      <c r="G42" s="95"/>
      <c r="H42" s="94">
        <v>19058.700000000001</v>
      </c>
      <c r="I42" s="109">
        <v>185786.84</v>
      </c>
      <c r="J42" s="94">
        <v>15623.98</v>
      </c>
      <c r="K42" s="94">
        <f t="shared" si="8"/>
        <v>-30977.119999999995</v>
      </c>
      <c r="L42" s="94">
        <f t="shared" si="9"/>
        <v>185786.84</v>
      </c>
      <c r="M42" s="94">
        <f t="shared" si="10"/>
        <v>-17001.860000000015</v>
      </c>
      <c r="N42" s="94">
        <f t="shared" si="11"/>
        <v>-3434.7200000000012</v>
      </c>
      <c r="O42" s="65">
        <f t="shared" si="12"/>
        <v>0.85709284882966708</v>
      </c>
      <c r="P42" s="66">
        <f t="shared" si="13"/>
        <v>0.81978204179718439</v>
      </c>
      <c r="Q42" s="67" t="str">
        <f t="shared" si="14"/>
        <v/>
      </c>
      <c r="R42" s="68">
        <f t="shared" si="15"/>
        <v>0.9161597268486853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1"/>
      <c r="B43" s="151"/>
      <c r="C43" s="126" t="s">
        <v>96</v>
      </c>
      <c r="D43" s="127" t="s">
        <v>97</v>
      </c>
      <c r="E43" s="94">
        <v>5017.3199999999997</v>
      </c>
      <c r="F43" s="94">
        <v>0</v>
      </c>
      <c r="G43" s="94"/>
      <c r="H43" s="95">
        <v>0</v>
      </c>
      <c r="I43" s="94">
        <v>18706.459999999999</v>
      </c>
      <c r="J43" s="94">
        <v>0</v>
      </c>
      <c r="K43" s="94">
        <f t="shared" si="8"/>
        <v>13689.139999999999</v>
      </c>
      <c r="L43" s="94">
        <f t="shared" si="9"/>
        <v>18706.459999999999</v>
      </c>
      <c r="M43" s="94">
        <f t="shared" si="10"/>
        <v>18706.459999999999</v>
      </c>
      <c r="N43" s="95">
        <f t="shared" si="11"/>
        <v>0</v>
      </c>
      <c r="O43" s="66">
        <f t="shared" si="12"/>
        <v>3.7283769024100515</v>
      </c>
      <c r="P43" s="65" t="str">
        <f t="shared" si="13"/>
        <v/>
      </c>
      <c r="Q43" s="66" t="str">
        <f t="shared" si="14"/>
        <v/>
      </c>
      <c r="R43" s="68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1"/>
      <c r="B44" s="151"/>
      <c r="C44" s="3" t="s">
        <v>98</v>
      </c>
      <c r="D44" s="153" t="s">
        <v>99</v>
      </c>
      <c r="E44" s="94">
        <v>133196.14999999999</v>
      </c>
      <c r="F44" s="94">
        <v>96901.899999999994</v>
      </c>
      <c r="G44" s="95"/>
      <c r="H44" s="94">
        <v>10701.9</v>
      </c>
      <c r="I44" s="109">
        <v>78029.400000000009</v>
      </c>
      <c r="J44" s="94">
        <v>-4781.3800000000001</v>
      </c>
      <c r="K44" s="94">
        <f t="shared" si="8"/>
        <v>-55166.749999999985</v>
      </c>
      <c r="L44" s="94">
        <f t="shared" si="9"/>
        <v>78029.400000000009</v>
      </c>
      <c r="M44" s="94">
        <f t="shared" si="10"/>
        <v>-18872.499999999985</v>
      </c>
      <c r="N44" s="94">
        <f t="shared" si="11"/>
        <v>-15483.279999999999</v>
      </c>
      <c r="O44" s="65">
        <f t="shared" si="12"/>
        <v>0.58582323888490784</v>
      </c>
      <c r="P44" s="66">
        <f t="shared" si="13"/>
        <v>-0.44677860940580649</v>
      </c>
      <c r="Q44" s="67" t="str">
        <f t="shared" si="14"/>
        <v/>
      </c>
      <c r="R44" s="68">
        <f t="shared" si="15"/>
        <v>0.80524117690158825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1"/>
      <c r="B45" s="151"/>
      <c r="C45" s="126" t="s">
        <v>100</v>
      </c>
      <c r="D45" s="127" t="s">
        <v>101</v>
      </c>
      <c r="E45" s="94">
        <v>9009.7999999999993</v>
      </c>
      <c r="F45" s="94">
        <v>0</v>
      </c>
      <c r="G45" s="94"/>
      <c r="H45" s="95">
        <v>0</v>
      </c>
      <c r="I45" s="94">
        <v>13748.52</v>
      </c>
      <c r="J45" s="94">
        <v>7253.4300000000003</v>
      </c>
      <c r="K45" s="94">
        <f t="shared" si="8"/>
        <v>4738.7200000000012</v>
      </c>
      <c r="L45" s="94">
        <f t="shared" si="9"/>
        <v>13748.52</v>
      </c>
      <c r="M45" s="94">
        <f t="shared" si="10"/>
        <v>13748.52</v>
      </c>
      <c r="N45" s="95">
        <f t="shared" si="11"/>
        <v>7253.4300000000003</v>
      </c>
      <c r="O45" s="66">
        <f t="shared" si="12"/>
        <v>1.525951741437102</v>
      </c>
      <c r="P45" s="65" t="str">
        <f t="shared" si="13"/>
        <v/>
      </c>
      <c r="Q45" s="66" t="str">
        <f t="shared" si="14"/>
        <v/>
      </c>
      <c r="R45" s="68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1"/>
      <c r="B46" s="151"/>
      <c r="C46" s="69" t="s">
        <v>54</v>
      </c>
      <c r="D46" s="152" t="s">
        <v>55</v>
      </c>
      <c r="E46" s="94">
        <v>14938.209999999999</v>
      </c>
      <c r="F46" s="117">
        <v>12978</v>
      </c>
      <c r="G46" s="95"/>
      <c r="H46" s="94">
        <v>3072</v>
      </c>
      <c r="I46" s="109">
        <v>9688.5200000000004</v>
      </c>
      <c r="J46" s="94">
        <v>634.87</v>
      </c>
      <c r="K46" s="94">
        <f t="shared" si="8"/>
        <v>-5249.6899999999987</v>
      </c>
      <c r="L46" s="94">
        <f t="shared" si="9"/>
        <v>9688.5200000000004</v>
      </c>
      <c r="M46" s="95">
        <f t="shared" si="10"/>
        <v>-3289.4799999999996</v>
      </c>
      <c r="N46" s="94">
        <f t="shared" si="11"/>
        <v>-2437.1300000000001</v>
      </c>
      <c r="O46" s="65">
        <f t="shared" si="12"/>
        <v>0.64857302180113952</v>
      </c>
      <c r="P46" s="66">
        <f t="shared" si="13"/>
        <v>0.20666341145833333</v>
      </c>
      <c r="Q46" s="67" t="str">
        <f t="shared" si="14"/>
        <v/>
      </c>
      <c r="R46" s="68">
        <f t="shared" si="15"/>
        <v>0.74653413468947449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1"/>
      <c r="B47" s="151"/>
      <c r="C47" s="59" t="s">
        <v>102</v>
      </c>
      <c r="D47" s="93" t="s">
        <v>103</v>
      </c>
      <c r="E47" s="94">
        <v>68830.25</v>
      </c>
      <c r="F47" s="94">
        <v>65450.300000000003</v>
      </c>
      <c r="G47" s="94"/>
      <c r="H47" s="95">
        <v>4450.3000000000002</v>
      </c>
      <c r="I47" s="94">
        <v>62926.149999999994</v>
      </c>
      <c r="J47" s="94">
        <v>4654.1500000000005</v>
      </c>
      <c r="K47" s="94">
        <f t="shared" si="8"/>
        <v>-5904.1000000000058</v>
      </c>
      <c r="L47" s="95">
        <f t="shared" si="9"/>
        <v>62926.149999999994</v>
      </c>
      <c r="M47" s="94">
        <f t="shared" si="10"/>
        <v>-2524.1500000000087</v>
      </c>
      <c r="N47" s="95">
        <f t="shared" si="11"/>
        <v>203.85000000000036</v>
      </c>
      <c r="O47" s="66">
        <f t="shared" si="12"/>
        <v>0.91422230777891977</v>
      </c>
      <c r="P47" s="65">
        <f t="shared" si="13"/>
        <v>1.0458059007257938</v>
      </c>
      <c r="Q47" s="66" t="str">
        <f t="shared" si="14"/>
        <v/>
      </c>
      <c r="R47" s="68">
        <f t="shared" si="15"/>
        <v>0.96143409579482431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="98" customFormat="1" ht="17.25">
      <c r="A48" s="91"/>
      <c r="B48" s="154"/>
      <c r="C48" s="100"/>
      <c r="D48" s="120" t="s">
        <v>56</v>
      </c>
      <c r="E48" s="155">
        <f>SUM(E35:E47)</f>
        <v>1261478.46</v>
      </c>
      <c r="F48" s="155">
        <f>SUM(F35:F47)</f>
        <v>947303.40000000026</v>
      </c>
      <c r="G48" s="156">
        <f>SUM(G35:G47)</f>
        <v>0</v>
      </c>
      <c r="H48" s="155">
        <f>SUM(H35:H47)</f>
        <v>49027.200000000004</v>
      </c>
      <c r="I48" s="155">
        <f>SUM(I35:I47)</f>
        <v>974763.75999999989</v>
      </c>
      <c r="J48" s="155">
        <f>SUM(J35:J47)</f>
        <v>40861.180000000008</v>
      </c>
      <c r="K48" s="155">
        <f>SUM(K35:K47)</f>
        <v>-286714.70000000007</v>
      </c>
      <c r="L48" s="155">
        <f t="shared" si="9"/>
        <v>974763.75999999989</v>
      </c>
      <c r="M48" s="156">
        <f>SUM(M35:M47)</f>
        <v>27460.359999999968</v>
      </c>
      <c r="N48" s="155">
        <f>SUM(N35:N47)</f>
        <v>-8166.0200000000023</v>
      </c>
      <c r="O48" s="121">
        <f t="shared" si="12"/>
        <v>0.77271534228178573</v>
      </c>
      <c r="P48" s="104">
        <f t="shared" si="13"/>
        <v>0.83343898896938851</v>
      </c>
      <c r="Q48" s="122" t="str">
        <f t="shared" si="14"/>
        <v/>
      </c>
      <c r="R48" s="105">
        <f t="shared" si="15"/>
        <v>1.0289879250934808</v>
      </c>
      <c r="S48" s="98"/>
      <c r="T48" s="98"/>
      <c r="U48" s="98"/>
      <c r="V48" s="98"/>
      <c r="W48" s="98"/>
      <c r="X48" s="98"/>
      <c r="Y48" s="98"/>
      <c r="Z48" s="98"/>
      <c r="AA48" s="98"/>
      <c r="AB48" s="98"/>
    </row>
    <row r="49" ht="17.25">
      <c r="A49" s="157" t="s">
        <v>104</v>
      </c>
      <c r="B49" s="158" t="s">
        <v>105</v>
      </c>
      <c r="C49" s="159" t="s">
        <v>106</v>
      </c>
      <c r="D49" s="160" t="s">
        <v>107</v>
      </c>
      <c r="E49" s="52">
        <v>538291.93999999994</v>
      </c>
      <c r="F49" s="161">
        <v>653882.09999999998</v>
      </c>
      <c r="G49" s="52"/>
      <c r="H49" s="52">
        <v>58786</v>
      </c>
      <c r="I49" s="52">
        <v>579986.82999999996</v>
      </c>
      <c r="J49" s="52">
        <v>8079.0900000000001</v>
      </c>
      <c r="K49" s="52">
        <f t="shared" ref="K49:K83" si="16">I49-E49</f>
        <v>41694.890000000014</v>
      </c>
      <c r="L49" s="52">
        <f t="shared" si="9"/>
        <v>579986.82999999996</v>
      </c>
      <c r="M49" s="52">
        <f t="shared" ref="M49:M83" si="17">I49-F49</f>
        <v>-73895.270000000019</v>
      </c>
      <c r="N49" s="52">
        <f t="shared" ref="N49:N83" si="18">J49-H49</f>
        <v>-50706.910000000003</v>
      </c>
      <c r="O49" s="162">
        <f t="shared" si="12"/>
        <v>1.0774577639041001</v>
      </c>
      <c r="P49" s="162">
        <f t="shared" si="13"/>
        <v>0.13743221175109721</v>
      </c>
      <c r="Q49" s="162" t="str">
        <f t="shared" si="14"/>
        <v/>
      </c>
      <c r="R49" s="163">
        <f t="shared" si="15"/>
        <v>0.88698991760135348</v>
      </c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7.25">
      <c r="A50" s="91"/>
      <c r="B50" s="158"/>
      <c r="C50" s="59" t="s">
        <v>108</v>
      </c>
      <c r="D50" s="152" t="s">
        <v>109</v>
      </c>
      <c r="E50" s="94">
        <v>371622.15999999997</v>
      </c>
      <c r="F50" s="117">
        <v>423200.79999999999</v>
      </c>
      <c r="G50" s="94"/>
      <c r="H50" s="94">
        <v>33452</v>
      </c>
      <c r="I50" s="94">
        <v>435425.66999999998</v>
      </c>
      <c r="J50" s="94">
        <v>4968.5600000000004</v>
      </c>
      <c r="K50" s="94">
        <f t="shared" si="16"/>
        <v>63803.510000000009</v>
      </c>
      <c r="L50" s="94">
        <f t="shared" si="9"/>
        <v>435425.66999999998</v>
      </c>
      <c r="M50" s="94">
        <f t="shared" si="17"/>
        <v>12224.869999999995</v>
      </c>
      <c r="N50" s="94">
        <f t="shared" si="18"/>
        <v>-28483.439999999999</v>
      </c>
      <c r="O50" s="66">
        <f t="shared" si="12"/>
        <v>1.1716891963600879</v>
      </c>
      <c r="P50" s="66">
        <f t="shared" si="13"/>
        <v>0.14852804017696999</v>
      </c>
      <c r="Q50" s="66" t="str">
        <f t="shared" si="14"/>
        <v/>
      </c>
      <c r="R50" s="68">
        <f t="shared" si="15"/>
        <v>1.0288866892501147</v>
      </c>
      <c r="S50" s="1"/>
      <c r="T50" s="1"/>
      <c r="U50" s="1"/>
      <c r="V50" s="1"/>
      <c r="W50" s="1"/>
      <c r="X50" s="1"/>
      <c r="Y50" s="1"/>
      <c r="Z50" s="1"/>
    </row>
    <row r="51" ht="17.25">
      <c r="A51" s="91"/>
      <c r="B51" s="158"/>
      <c r="C51" s="59" t="s">
        <v>110</v>
      </c>
      <c r="D51" s="152" t="s">
        <v>111</v>
      </c>
      <c r="E51" s="94">
        <v>3854792.96</v>
      </c>
      <c r="F51" s="117">
        <v>4515290.5999999996</v>
      </c>
      <c r="G51" s="94"/>
      <c r="H51" s="94">
        <v>404055.70000000001</v>
      </c>
      <c r="I51" s="94">
        <v>3938176.0999999996</v>
      </c>
      <c r="J51" s="94">
        <v>134942.44999999998</v>
      </c>
      <c r="K51" s="94">
        <f t="shared" si="16"/>
        <v>83383.139999999665</v>
      </c>
      <c r="L51" s="94">
        <f t="shared" si="9"/>
        <v>3938176.0999999996</v>
      </c>
      <c r="M51" s="94">
        <f t="shared" si="17"/>
        <v>-577114.5</v>
      </c>
      <c r="N51" s="96">
        <f t="shared" si="18"/>
        <v>-269113.25</v>
      </c>
      <c r="O51" s="66">
        <f t="shared" si="12"/>
        <v>1.0216310294392568</v>
      </c>
      <c r="P51" s="66">
        <f t="shared" si="13"/>
        <v>0.33396992048373525</v>
      </c>
      <c r="Q51" s="66" t="str">
        <f t="shared" si="14"/>
        <v/>
      </c>
      <c r="R51" s="68">
        <f t="shared" si="15"/>
        <v>0.87218663179729783</v>
      </c>
      <c r="S51" s="1"/>
      <c r="T51" s="1"/>
      <c r="U51" s="1"/>
      <c r="V51" s="1"/>
      <c r="W51" s="1"/>
      <c r="X51" s="1"/>
      <c r="Y51" s="1"/>
      <c r="Z51" s="1"/>
    </row>
    <row r="52" ht="17.25">
      <c r="A52" s="91"/>
      <c r="B52" s="158"/>
      <c r="C52" s="59"/>
      <c r="D52" s="164" t="s">
        <v>112</v>
      </c>
      <c r="E52" s="165">
        <f>E49+E50+E51</f>
        <v>4764707.0599999996</v>
      </c>
      <c r="F52" s="165">
        <f>F49+F50+F51</f>
        <v>5592373.5</v>
      </c>
      <c r="G52" s="165">
        <f>G51+G50+G49</f>
        <v>0</v>
      </c>
      <c r="H52" s="165">
        <f>H51+H50+H49</f>
        <v>496293.70000000001</v>
      </c>
      <c r="I52" s="165">
        <f>I49+I50+I51</f>
        <v>4953588.5999999996</v>
      </c>
      <c r="J52" s="165">
        <f>J49+J50+J51</f>
        <v>147990.09999999998</v>
      </c>
      <c r="K52" s="166">
        <f t="shared" si="16"/>
        <v>188881.54000000004</v>
      </c>
      <c r="L52" s="166">
        <f t="shared" si="9"/>
        <v>4953588.5999999996</v>
      </c>
      <c r="M52" s="166">
        <f t="shared" si="17"/>
        <v>-638784.90000000037</v>
      </c>
      <c r="N52" s="167">
        <f t="shared" si="18"/>
        <v>-348303.60000000003</v>
      </c>
      <c r="O52" s="168">
        <f t="shared" si="12"/>
        <v>1.0396417948934724</v>
      </c>
      <c r="P52" s="168">
        <f t="shared" si="13"/>
        <v>0.29819056739990851</v>
      </c>
      <c r="Q52" s="168" t="str">
        <f t="shared" si="14"/>
        <v/>
      </c>
      <c r="R52" s="169">
        <f t="shared" si="15"/>
        <v>0.88577570865036104</v>
      </c>
      <c r="S52" s="1"/>
      <c r="T52" s="1"/>
      <c r="U52" s="1"/>
      <c r="V52" s="1"/>
      <c r="W52" s="1"/>
      <c r="X52" s="1"/>
      <c r="Y52" s="1"/>
      <c r="Z52" s="1"/>
    </row>
    <row r="53" ht="34.5">
      <c r="A53" s="157"/>
      <c r="B53" s="158"/>
      <c r="C53" s="170" t="s">
        <v>113</v>
      </c>
      <c r="D53" s="171" t="s">
        <v>114</v>
      </c>
      <c r="E53" s="172">
        <v>802.42999999999995</v>
      </c>
      <c r="F53" s="109">
        <v>4371.8000000000002</v>
      </c>
      <c r="G53" s="172"/>
      <c r="H53" s="95">
        <v>462</v>
      </c>
      <c r="I53" s="172">
        <v>2691.98</v>
      </c>
      <c r="J53" s="172">
        <v>282.51999999999998</v>
      </c>
      <c r="K53" s="118">
        <f t="shared" si="16"/>
        <v>1889.5500000000002</v>
      </c>
      <c r="L53" s="118">
        <f t="shared" si="9"/>
        <v>2691.98</v>
      </c>
      <c r="M53" s="118">
        <f t="shared" si="17"/>
        <v>-1679.8200000000002</v>
      </c>
      <c r="N53" s="173">
        <f t="shared" si="18"/>
        <v>-179.48000000000002</v>
      </c>
      <c r="O53" s="78">
        <f t="shared" si="12"/>
        <v>3.3547848410453249</v>
      </c>
      <c r="P53" s="78">
        <f t="shared" si="13"/>
        <v>0.61151515151515146</v>
      </c>
      <c r="Q53" s="78" t="str">
        <f t="shared" si="14"/>
        <v/>
      </c>
      <c r="R53" s="79">
        <f t="shared" si="15"/>
        <v>0.61576009881513338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74"/>
      <c r="B54" s="175"/>
      <c r="C54" s="69" t="s">
        <v>115</v>
      </c>
      <c r="D54" s="176" t="s">
        <v>116</v>
      </c>
      <c r="E54" s="94">
        <v>0</v>
      </c>
      <c r="F54" s="94">
        <v>0</v>
      </c>
      <c r="G54" s="94"/>
      <c r="H54" s="94">
        <v>0</v>
      </c>
      <c r="I54" s="94">
        <v>4845.8299999999999</v>
      </c>
      <c r="J54" s="94">
        <v>0</v>
      </c>
      <c r="K54" s="94">
        <f t="shared" si="16"/>
        <v>4845.8299999999999</v>
      </c>
      <c r="L54" s="94">
        <f t="shared" si="9"/>
        <v>4845.8299999999999</v>
      </c>
      <c r="M54" s="94">
        <f t="shared" si="17"/>
        <v>4845.8299999999999</v>
      </c>
      <c r="N54" s="96">
        <f t="shared" si="18"/>
        <v>0</v>
      </c>
      <c r="O54" s="66" t="str">
        <f t="shared" si="12"/>
        <v/>
      </c>
      <c r="P54" s="66" t="str">
        <f t="shared" si="13"/>
        <v/>
      </c>
      <c r="Q54" s="66" t="str">
        <f t="shared" si="14"/>
        <v/>
      </c>
      <c r="R54" s="68" t="str">
        <f t="shared" si="15"/>
        <v/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ht="17.25">
      <c r="A55" s="177"/>
      <c r="B55" s="158"/>
      <c r="C55" s="178" t="s">
        <v>117</v>
      </c>
      <c r="D55" s="179" t="s">
        <v>55</v>
      </c>
      <c r="E55" s="52">
        <v>73821.059999999998</v>
      </c>
      <c r="F55" s="161">
        <v>41597</v>
      </c>
      <c r="G55" s="161"/>
      <c r="H55" s="52">
        <v>3047</v>
      </c>
      <c r="I55" s="95">
        <v>100442.64999999999</v>
      </c>
      <c r="J55" s="52">
        <v>4558.0499999999993</v>
      </c>
      <c r="K55" s="52">
        <f t="shared" si="16"/>
        <v>26621.589999999997</v>
      </c>
      <c r="L55" s="52">
        <f t="shared" si="9"/>
        <v>100442.64999999999</v>
      </c>
      <c r="M55" s="52">
        <f t="shared" si="17"/>
        <v>58845.649999999994</v>
      </c>
      <c r="N55" s="180">
        <f t="shared" si="18"/>
        <v>1511.0499999999993</v>
      </c>
      <c r="O55" s="162">
        <f t="shared" si="12"/>
        <v>1.3606232422021574</v>
      </c>
      <c r="P55" s="162">
        <f t="shared" si="13"/>
        <v>1.4959140137840496</v>
      </c>
      <c r="Q55" s="162" t="str">
        <f t="shared" si="14"/>
        <v/>
      </c>
      <c r="R55" s="163">
        <f t="shared" si="15"/>
        <v>2.4146609130466139</v>
      </c>
      <c r="S55" s="1"/>
      <c r="T55" s="1"/>
      <c r="U55" s="1"/>
      <c r="V55" s="1"/>
      <c r="W55" s="1"/>
      <c r="X55" s="1"/>
      <c r="Y55" s="1"/>
      <c r="Z55" s="1"/>
    </row>
    <row r="56" s="98" customFormat="1" ht="17.25">
      <c r="A56" s="91"/>
      <c r="B56" s="181"/>
      <c r="C56" s="100"/>
      <c r="D56" s="101" t="s">
        <v>56</v>
      </c>
      <c r="E56" s="102">
        <f>E52+E53+E54+E55</f>
        <v>4839330.5499999989</v>
      </c>
      <c r="F56" s="102">
        <f>F52+F53+F54+F55</f>
        <v>5638342.2999999998</v>
      </c>
      <c r="G56" s="102">
        <f>G52+G53+G54+G55</f>
        <v>0</v>
      </c>
      <c r="H56" s="102">
        <f>H52+H53+H54+H55</f>
        <v>499802.70000000001</v>
      </c>
      <c r="I56" s="102">
        <f>I52+I53+I54+I55</f>
        <v>5061569.0600000005</v>
      </c>
      <c r="J56" s="102">
        <f>J52+J53+J54+J55</f>
        <v>152830.66999999995</v>
      </c>
      <c r="K56" s="102">
        <f t="shared" si="16"/>
        <v>222238.51000000164</v>
      </c>
      <c r="L56" s="103">
        <f t="shared" si="9"/>
        <v>5061569.0600000005</v>
      </c>
      <c r="M56" s="102">
        <f t="shared" si="17"/>
        <v>-576773.23999999929</v>
      </c>
      <c r="N56" s="103">
        <f t="shared" si="18"/>
        <v>-346972.03000000003</v>
      </c>
      <c r="O56" s="104">
        <f t="shared" si="12"/>
        <v>1.0459233994668957</v>
      </c>
      <c r="P56" s="121">
        <f t="shared" si="13"/>
        <v>0.30578200157782254</v>
      </c>
      <c r="Q56" s="104" t="str">
        <f t="shared" si="14"/>
        <v/>
      </c>
      <c r="R56" s="105">
        <f t="shared" si="15"/>
        <v>0.89770517479933787</v>
      </c>
      <c r="S56" s="98"/>
      <c r="T56" s="98"/>
      <c r="U56" s="98"/>
      <c r="V56" s="98"/>
      <c r="W56" s="98"/>
      <c r="X56" s="98"/>
      <c r="Y56" s="98"/>
      <c r="Z56" s="98"/>
      <c r="AA56" s="98"/>
      <c r="AB56" s="98"/>
    </row>
    <row r="57" ht="17.25">
      <c r="A57" s="106">
        <v>991</v>
      </c>
      <c r="B57" s="87" t="s">
        <v>118</v>
      </c>
      <c r="C57" s="149" t="s">
        <v>69</v>
      </c>
      <c r="D57" s="108" t="s">
        <v>119</v>
      </c>
      <c r="E57" s="50">
        <v>62401.309999999998</v>
      </c>
      <c r="F57" s="150">
        <v>66470.800000000003</v>
      </c>
      <c r="G57" s="51"/>
      <c r="H57" s="50">
        <v>5970.8000000000002</v>
      </c>
      <c r="I57" s="90">
        <v>63463.57</v>
      </c>
      <c r="J57" s="182">
        <v>1730.7199999999998</v>
      </c>
      <c r="K57" s="50">
        <f t="shared" si="16"/>
        <v>1062.260000000002</v>
      </c>
      <c r="L57" s="50">
        <f t="shared" si="9"/>
        <v>63463.57</v>
      </c>
      <c r="M57" s="51">
        <f t="shared" si="17"/>
        <v>-3007.2300000000032</v>
      </c>
      <c r="N57" s="50">
        <f t="shared" si="18"/>
        <v>-4240.0799999999999</v>
      </c>
      <c r="O57" s="55">
        <f t="shared" si="12"/>
        <v>1.0170230400611782</v>
      </c>
      <c r="P57" s="54">
        <f t="shared" si="13"/>
        <v>0.28986400482347419</v>
      </c>
      <c r="Q57" s="110" t="str">
        <f t="shared" si="14"/>
        <v/>
      </c>
      <c r="R57" s="56">
        <f t="shared" si="15"/>
        <v>0.95475863085745916</v>
      </c>
      <c r="S57" s="1"/>
      <c r="T57" s="1"/>
      <c r="U57" s="1"/>
      <c r="V57" s="1"/>
      <c r="W57" s="1"/>
      <c r="X57" s="1"/>
      <c r="Y57" s="1"/>
      <c r="Z57" s="1"/>
    </row>
    <row r="58" ht="17.25">
      <c r="A58" s="111"/>
      <c r="B58" s="92"/>
      <c r="C58" s="59" t="s">
        <v>120</v>
      </c>
      <c r="D58" s="93" t="s">
        <v>121</v>
      </c>
      <c r="E58" s="94">
        <v>7908.29</v>
      </c>
      <c r="F58" s="94">
        <v>0</v>
      </c>
      <c r="G58" s="94"/>
      <c r="H58" s="95">
        <v>0</v>
      </c>
      <c r="I58" s="94">
        <v>4383.0900000000001</v>
      </c>
      <c r="J58" s="94">
        <v>0</v>
      </c>
      <c r="K58" s="95">
        <f t="shared" si="16"/>
        <v>-3525.1999999999998</v>
      </c>
      <c r="L58" s="94">
        <f t="shared" si="9"/>
        <v>4383.0900000000001</v>
      </c>
      <c r="M58" s="94">
        <f t="shared" si="17"/>
        <v>4383.0900000000001</v>
      </c>
      <c r="N58" s="95">
        <f t="shared" si="18"/>
        <v>0</v>
      </c>
      <c r="O58" s="66">
        <f t="shared" si="12"/>
        <v>0.5542399178583487</v>
      </c>
      <c r="P58" s="65" t="str">
        <f t="shared" si="13"/>
        <v/>
      </c>
      <c r="Q58" s="66" t="str">
        <f t="shared" si="14"/>
        <v/>
      </c>
      <c r="R58" s="68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8" customFormat="1" ht="17.25">
      <c r="A59" s="111"/>
      <c r="B59" s="99"/>
      <c r="C59" s="119"/>
      <c r="D59" s="120" t="s">
        <v>56</v>
      </c>
      <c r="E59" s="102">
        <f>SUM(E57:E58)</f>
        <v>70309.599999999991</v>
      </c>
      <c r="F59" s="102">
        <f>SUM(F57:F58)</f>
        <v>66470.800000000003</v>
      </c>
      <c r="G59" s="103">
        <f>SUM(G57:G58)</f>
        <v>0</v>
      </c>
      <c r="H59" s="102">
        <f>SUM(H57:H58)</f>
        <v>5970.8000000000002</v>
      </c>
      <c r="I59" s="102">
        <f>SUM(I57:I58)</f>
        <v>67846.660000000003</v>
      </c>
      <c r="J59" s="102">
        <f>SUM(J57:J58)</f>
        <v>1730.7199999999998</v>
      </c>
      <c r="K59" s="102">
        <f t="shared" si="16"/>
        <v>-2462.9399999999878</v>
      </c>
      <c r="L59" s="103">
        <f t="shared" si="9"/>
        <v>67846.660000000003</v>
      </c>
      <c r="M59" s="102">
        <f t="shared" si="17"/>
        <v>1375.8600000000006</v>
      </c>
      <c r="N59" s="102">
        <f t="shared" si="18"/>
        <v>-4240.0799999999999</v>
      </c>
      <c r="O59" s="121">
        <f t="shared" si="12"/>
        <v>0.96497007521021327</v>
      </c>
      <c r="P59" s="104">
        <f t="shared" si="13"/>
        <v>0.28986400482347419</v>
      </c>
      <c r="Q59" s="122" t="str">
        <f t="shared" si="14"/>
        <v/>
      </c>
      <c r="R59" s="105">
        <f t="shared" si="15"/>
        <v>1.0206987128182601</v>
      </c>
      <c r="S59" s="98"/>
      <c r="T59" s="98"/>
      <c r="U59" s="98"/>
      <c r="V59" s="98"/>
      <c r="W59" s="98"/>
      <c r="X59" s="98"/>
      <c r="Y59" s="98"/>
      <c r="Z59" s="98"/>
      <c r="AA59" s="98"/>
      <c r="AB59" s="98"/>
    </row>
    <row r="60" ht="17.25">
      <c r="A60" s="157" t="s">
        <v>122</v>
      </c>
      <c r="B60" s="87" t="s">
        <v>123</v>
      </c>
      <c r="C60" s="123" t="s">
        <v>124</v>
      </c>
      <c r="D60" s="124" t="s">
        <v>125</v>
      </c>
      <c r="E60" s="50">
        <v>26653.700000000001</v>
      </c>
      <c r="F60" s="150">
        <v>51086</v>
      </c>
      <c r="G60" s="50"/>
      <c r="H60" s="51">
        <v>352.69999999999999</v>
      </c>
      <c r="I60" s="50">
        <v>63557.150000000001</v>
      </c>
      <c r="J60" s="50">
        <v>4856.1999999999998</v>
      </c>
      <c r="K60" s="50">
        <f t="shared" si="16"/>
        <v>36903.449999999997</v>
      </c>
      <c r="L60" s="50">
        <f t="shared" si="9"/>
        <v>63557.150000000001</v>
      </c>
      <c r="M60" s="51">
        <f t="shared" si="17"/>
        <v>12471.150000000001</v>
      </c>
      <c r="N60" s="50">
        <f t="shared" si="18"/>
        <v>4503.5</v>
      </c>
      <c r="O60" s="54">
        <f t="shared" si="12"/>
        <v>2.3845526137084159</v>
      </c>
      <c r="P60" s="55">
        <f t="shared" si="13"/>
        <v>13.768641905301957</v>
      </c>
      <c r="Q60" s="54" t="str">
        <f t="shared" si="14"/>
        <v/>
      </c>
      <c r="R60" s="56">
        <f t="shared" si="15"/>
        <v>1.2441206984300983</v>
      </c>
      <c r="S60" s="1"/>
      <c r="T60" s="1"/>
      <c r="U60" s="1"/>
      <c r="V60" s="1"/>
      <c r="W60" s="1"/>
      <c r="X60" s="1"/>
      <c r="Y60" s="1"/>
      <c r="Z60" s="1"/>
    </row>
    <row r="61" ht="17.25">
      <c r="A61" s="91"/>
      <c r="B61" s="92"/>
      <c r="C61" s="69" t="s">
        <v>126</v>
      </c>
      <c r="D61" s="152" t="s">
        <v>127</v>
      </c>
      <c r="E61" s="94">
        <v>143464.54999999999</v>
      </c>
      <c r="F61" s="117">
        <v>50550.300000000003</v>
      </c>
      <c r="G61" s="95"/>
      <c r="H61" s="94">
        <v>10850.299999999999</v>
      </c>
      <c r="I61" s="94">
        <v>126324.3</v>
      </c>
      <c r="J61" s="94">
        <v>29634.490000000002</v>
      </c>
      <c r="K61" s="94">
        <f t="shared" si="16"/>
        <v>-17140.249999999985</v>
      </c>
      <c r="L61" s="94">
        <f t="shared" si="9"/>
        <v>126324.3</v>
      </c>
      <c r="M61" s="94">
        <f t="shared" si="17"/>
        <v>75774</v>
      </c>
      <c r="N61" s="95">
        <f t="shared" si="18"/>
        <v>18784.190000000002</v>
      </c>
      <c r="O61" s="66">
        <f t="shared" si="12"/>
        <v>0.8805262345297149</v>
      </c>
      <c r="P61" s="66">
        <f t="shared" si="13"/>
        <v>2.7312138834870927</v>
      </c>
      <c r="Q61" s="67" t="str">
        <f t="shared" si="14"/>
        <v/>
      </c>
      <c r="R61" s="68">
        <f t="shared" si="15"/>
        <v>2.4989822018860419</v>
      </c>
      <c r="S61" s="1"/>
      <c r="T61" s="1"/>
      <c r="U61" s="1"/>
      <c r="V61" s="1"/>
      <c r="W61" s="1"/>
      <c r="X61" s="1"/>
      <c r="Y61" s="1"/>
      <c r="Z61" s="1"/>
    </row>
    <row r="62" s="98" customFormat="1" ht="17.25">
      <c r="A62" s="91"/>
      <c r="B62" s="99"/>
      <c r="C62" s="100"/>
      <c r="D62" s="101" t="s">
        <v>56</v>
      </c>
      <c r="E62" s="102">
        <f>SUM(E60:E61)</f>
        <v>170118.25</v>
      </c>
      <c r="F62" s="102">
        <f>SUM(F60:F61)</f>
        <v>101636.3</v>
      </c>
      <c r="G62" s="102">
        <f>SUM(G60:G61)</f>
        <v>0</v>
      </c>
      <c r="H62" s="102">
        <f>SUM(H60:H61)</f>
        <v>11203</v>
      </c>
      <c r="I62" s="102">
        <f>SUM(I60:I61)</f>
        <v>189881.45000000001</v>
      </c>
      <c r="J62" s="103">
        <f>SUM(J60:J61)</f>
        <v>34490.690000000002</v>
      </c>
      <c r="K62" s="102">
        <f t="shared" si="16"/>
        <v>19763.200000000012</v>
      </c>
      <c r="L62" s="103">
        <f t="shared" si="9"/>
        <v>189881.45000000001</v>
      </c>
      <c r="M62" s="102">
        <f t="shared" si="17"/>
        <v>88245.150000000009</v>
      </c>
      <c r="N62" s="102">
        <f t="shared" si="18"/>
        <v>23287.690000000002</v>
      </c>
      <c r="O62" s="121">
        <f t="shared" si="12"/>
        <v>1.1161733088601606</v>
      </c>
      <c r="P62" s="104">
        <f t="shared" si="13"/>
        <v>3.0787012407390879</v>
      </c>
      <c r="Q62" s="104" t="str">
        <f t="shared" si="14"/>
        <v/>
      </c>
      <c r="R62" s="105">
        <f t="shared" si="15"/>
        <v>1.8682444166109944</v>
      </c>
      <c r="S62" s="98"/>
      <c r="T62" s="98"/>
      <c r="U62" s="98"/>
      <c r="V62" s="98"/>
      <c r="W62" s="98"/>
      <c r="X62" s="98"/>
      <c r="Y62" s="98"/>
      <c r="Z62" s="98"/>
      <c r="AA62" s="98"/>
      <c r="AB62" s="98"/>
    </row>
    <row r="63" ht="17.25">
      <c r="A63" s="113"/>
      <c r="B63" s="148" t="s">
        <v>128</v>
      </c>
      <c r="C63" s="48" t="s">
        <v>129</v>
      </c>
      <c r="D63" s="183" t="s">
        <v>130</v>
      </c>
      <c r="E63" s="50">
        <v>453.32999999999998</v>
      </c>
      <c r="F63" s="50">
        <v>30.699999999999999</v>
      </c>
      <c r="G63" s="51"/>
      <c r="H63" s="50">
        <v>0</v>
      </c>
      <c r="I63" s="109">
        <f>3553.44+2.34</f>
        <v>3555.7800000000002</v>
      </c>
      <c r="J63" s="50">
        <f>2.38+2.34</f>
        <v>4.7199999999999998</v>
      </c>
      <c r="K63" s="50">
        <f t="shared" si="16"/>
        <v>3102.4500000000003</v>
      </c>
      <c r="L63" s="50">
        <f t="shared" si="9"/>
        <v>3555.7800000000002</v>
      </c>
      <c r="M63" s="51">
        <f t="shared" si="17"/>
        <v>3525.0800000000004</v>
      </c>
      <c r="N63" s="50">
        <f t="shared" si="18"/>
        <v>4.7199999999999998</v>
      </c>
      <c r="O63" s="54">
        <f t="shared" si="12"/>
        <v>7.8436900271325536</v>
      </c>
      <c r="P63" s="55" t="str">
        <f t="shared" si="13"/>
        <v/>
      </c>
      <c r="Q63" s="54" t="str">
        <f t="shared" si="14"/>
        <v/>
      </c>
      <c r="R63" s="56">
        <f t="shared" si="15"/>
        <v>115.82345276872965</v>
      </c>
      <c r="S63" s="1"/>
      <c r="T63" s="1"/>
      <c r="U63" s="1"/>
      <c r="V63" s="1"/>
      <c r="W63" s="1"/>
      <c r="X63" s="1"/>
      <c r="Y63" s="1"/>
      <c r="Z63" s="1"/>
    </row>
    <row r="64" ht="17.25">
      <c r="A64" s="111"/>
      <c r="B64" s="151"/>
      <c r="C64" s="59" t="s">
        <v>90</v>
      </c>
      <c r="D64" s="93" t="s">
        <v>131</v>
      </c>
      <c r="E64" s="94">
        <v>914.30999999999995</v>
      </c>
      <c r="F64" s="96">
        <v>26</v>
      </c>
      <c r="G64" s="96"/>
      <c r="H64" s="96">
        <v>0</v>
      </c>
      <c r="I64" s="94">
        <v>2047.75</v>
      </c>
      <c r="J64" s="94">
        <v>0.44</v>
      </c>
      <c r="K64" s="94">
        <f t="shared" si="16"/>
        <v>1133.4400000000001</v>
      </c>
      <c r="L64" s="94">
        <f t="shared" si="9"/>
        <v>2047.75</v>
      </c>
      <c r="M64" s="94">
        <f t="shared" si="17"/>
        <v>2021.75</v>
      </c>
      <c r="N64" s="95">
        <f t="shared" si="18"/>
        <v>0.44</v>
      </c>
      <c r="O64" s="66">
        <f t="shared" si="12"/>
        <v>2.2396670713434177</v>
      </c>
      <c r="P64" s="66" t="str">
        <f t="shared" si="13"/>
        <v/>
      </c>
      <c r="Q64" s="67" t="str">
        <f t="shared" si="14"/>
        <v/>
      </c>
      <c r="R64" s="184">
        <f t="shared" si="15"/>
        <v>78.759615384615387</v>
      </c>
      <c r="S64" s="1"/>
      <c r="T64" s="1"/>
      <c r="U64" s="1"/>
      <c r="V64" s="1"/>
      <c r="W64" s="1"/>
      <c r="X64" s="1"/>
      <c r="Y64" s="1"/>
      <c r="Z64" s="1"/>
    </row>
    <row r="65" ht="13.5">
      <c r="A65" s="111"/>
      <c r="B65" s="151"/>
      <c r="C65" s="69" t="s">
        <v>52</v>
      </c>
      <c r="D65" s="97" t="s">
        <v>53</v>
      </c>
      <c r="E65" s="94">
        <v>352.19999999999999</v>
      </c>
      <c r="F65" s="94">
        <v>371</v>
      </c>
      <c r="G65" s="94"/>
      <c r="H65" s="94">
        <v>0</v>
      </c>
      <c r="I65" s="94">
        <v>0</v>
      </c>
      <c r="J65" s="94">
        <v>0</v>
      </c>
      <c r="K65" s="94">
        <f t="shared" si="16"/>
        <v>-352.19999999999999</v>
      </c>
      <c r="L65" s="94">
        <f t="shared" si="9"/>
        <v>0</v>
      </c>
      <c r="M65" s="95">
        <f t="shared" si="17"/>
        <v>-371</v>
      </c>
      <c r="N65" s="94">
        <f t="shared" si="18"/>
        <v>0</v>
      </c>
      <c r="O65" s="65">
        <f t="shared" si="12"/>
        <v>0</v>
      </c>
      <c r="P65" s="66" t="str">
        <f t="shared" si="13"/>
        <v/>
      </c>
      <c r="Q65" s="66" t="str">
        <f t="shared" si="14"/>
        <v/>
      </c>
      <c r="R65" s="68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11"/>
      <c r="B66" s="151"/>
      <c r="C66" s="59" t="s">
        <v>132</v>
      </c>
      <c r="D66" s="93" t="s">
        <v>133</v>
      </c>
      <c r="E66" s="94">
        <v>91592.160000000003</v>
      </c>
      <c r="F66" s="94">
        <f>55221.1-F24</f>
        <v>54170.199999999997</v>
      </c>
      <c r="G66" s="94"/>
      <c r="H66" s="94">
        <v>3600.3000000000002</v>
      </c>
      <c r="I66" s="95">
        <v>120105.73999999999</v>
      </c>
      <c r="J66" s="94">
        <v>2473.2400000000002</v>
      </c>
      <c r="K66" s="94">
        <f t="shared" si="16"/>
        <v>28513.579999999987</v>
      </c>
      <c r="L66" s="94">
        <f t="shared" si="9"/>
        <v>120105.73999999999</v>
      </c>
      <c r="M66" s="94">
        <f t="shared" si="17"/>
        <v>65935.539999999994</v>
      </c>
      <c r="N66" s="95">
        <f t="shared" si="18"/>
        <v>-1127.0599999999999</v>
      </c>
      <c r="O66" s="66">
        <f t="shared" si="12"/>
        <v>1.3113102693505643</v>
      </c>
      <c r="P66" s="65">
        <f t="shared" si="13"/>
        <v>0.68695386495569821</v>
      </c>
      <c r="Q66" s="66" t="str">
        <f t="shared" si="14"/>
        <v/>
      </c>
      <c r="R66" s="68">
        <f t="shared" si="15"/>
        <v>2.2171921093147153</v>
      </c>
      <c r="S66" s="1"/>
      <c r="T66" s="1"/>
      <c r="U66" s="1"/>
      <c r="V66" s="1"/>
      <c r="W66" s="1"/>
      <c r="X66" s="1"/>
      <c r="Y66" s="1"/>
      <c r="Z66" s="1"/>
    </row>
    <row r="67" ht="13.5">
      <c r="A67" s="111"/>
      <c r="B67" s="151"/>
      <c r="C67" s="69" t="s">
        <v>54</v>
      </c>
      <c r="D67" s="97" t="s">
        <v>55</v>
      </c>
      <c r="E67" s="94">
        <v>67017.470000000001</v>
      </c>
      <c r="F67" s="94">
        <f>213281.6-F55</f>
        <v>171684.60000000001</v>
      </c>
      <c r="G67" s="94"/>
      <c r="H67" s="94">
        <v>25512</v>
      </c>
      <c r="I67" s="94">
        <v>94643.720000000001</v>
      </c>
      <c r="J67" s="94">
        <v>5087.1300000000001</v>
      </c>
      <c r="K67" s="94">
        <f t="shared" si="16"/>
        <v>27626.25</v>
      </c>
      <c r="L67" s="94">
        <f t="shared" si="9"/>
        <v>94643.720000000001</v>
      </c>
      <c r="M67" s="95">
        <f t="shared" si="17"/>
        <v>-77040.880000000005</v>
      </c>
      <c r="N67" s="94">
        <f t="shared" si="18"/>
        <v>-20424.869999999999</v>
      </c>
      <c r="O67" s="65">
        <f t="shared" si="12"/>
        <v>1.4122246035250212</v>
      </c>
      <c r="P67" s="66">
        <f t="shared" si="13"/>
        <v>0.19940145813734714</v>
      </c>
      <c r="Q67" s="67" t="str">
        <f t="shared" si="14"/>
        <v/>
      </c>
      <c r="R67" s="68">
        <f t="shared" si="15"/>
        <v>0.55126505231104017</v>
      </c>
      <c r="S67" s="1"/>
      <c r="T67" s="1"/>
      <c r="U67" s="1"/>
      <c r="V67" s="1"/>
      <c r="W67" s="1"/>
      <c r="X67" s="1"/>
      <c r="Y67" s="1"/>
      <c r="Z67" s="1"/>
    </row>
    <row r="68" ht="13.5">
      <c r="A68" s="111"/>
      <c r="B68" s="151"/>
      <c r="C68" s="59" t="s">
        <v>134</v>
      </c>
      <c r="D68" s="93" t="s">
        <v>135</v>
      </c>
      <c r="E68" s="94">
        <v>1380.8199999999999</v>
      </c>
      <c r="F68" s="94">
        <v>0</v>
      </c>
      <c r="G68" s="94"/>
      <c r="H68" s="95">
        <v>0</v>
      </c>
      <c r="I68" s="94">
        <f>323.07-44.62</f>
        <v>278.44999999999999</v>
      </c>
      <c r="J68" s="94">
        <f>124.93-44.62</f>
        <v>80.310000000000002</v>
      </c>
      <c r="K68" s="94">
        <f t="shared" si="16"/>
        <v>-1102.3699999999999</v>
      </c>
      <c r="L68" s="95">
        <f t="shared" si="9"/>
        <v>278.44999999999999</v>
      </c>
      <c r="M68" s="94">
        <f t="shared" si="17"/>
        <v>278.44999999999999</v>
      </c>
      <c r="N68" s="95">
        <f t="shared" si="18"/>
        <v>80.310000000000002</v>
      </c>
      <c r="O68" s="66">
        <f t="shared" si="12"/>
        <v>0.20165553801364408</v>
      </c>
      <c r="P68" s="65" t="str">
        <f t="shared" si="13"/>
        <v/>
      </c>
      <c r="Q68" s="66" t="str">
        <f t="shared" si="14"/>
        <v/>
      </c>
      <c r="R68" s="68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1"/>
      <c r="B69" s="151"/>
      <c r="C69" s="69" t="s">
        <v>136</v>
      </c>
      <c r="D69" s="97" t="s">
        <v>137</v>
      </c>
      <c r="E69" s="94">
        <v>3597.7800000000002</v>
      </c>
      <c r="F69" s="94">
        <v>38614.970000000001</v>
      </c>
      <c r="G69" s="94"/>
      <c r="H69" s="94">
        <v>0</v>
      </c>
      <c r="I69" s="94">
        <v>40610.410000000003</v>
      </c>
      <c r="J69" s="94">
        <v>8.2899999999999991</v>
      </c>
      <c r="K69" s="95">
        <f t="shared" si="16"/>
        <v>37012.630000000005</v>
      </c>
      <c r="L69" s="94">
        <f t="shared" si="9"/>
        <v>40610.410000000003</v>
      </c>
      <c r="M69" s="95">
        <f t="shared" si="17"/>
        <v>1995.4400000000023</v>
      </c>
      <c r="N69" s="94">
        <f t="shared" si="18"/>
        <v>8.2899999999999991</v>
      </c>
      <c r="O69" s="65">
        <f t="shared" si="12"/>
        <v>11.287630149703428</v>
      </c>
      <c r="P69" s="66" t="str">
        <f t="shared" si="13"/>
        <v/>
      </c>
      <c r="Q69" s="67" t="str">
        <f t="shared" si="14"/>
        <v/>
      </c>
      <c r="R69" s="68">
        <f t="shared" si="15"/>
        <v>1.0516752958761848</v>
      </c>
      <c r="S69" s="1"/>
      <c r="T69" s="1"/>
      <c r="U69" s="1"/>
      <c r="V69" s="1"/>
      <c r="W69" s="1"/>
      <c r="X69" s="1"/>
      <c r="Y69" s="1"/>
      <c r="Z69" s="1"/>
    </row>
    <row r="70" ht="13.5">
      <c r="A70" s="111"/>
      <c r="B70" s="151"/>
      <c r="C70" s="59" t="s">
        <v>138</v>
      </c>
      <c r="D70" s="93" t="s">
        <v>139</v>
      </c>
      <c r="E70" s="94">
        <v>573.40999999999997</v>
      </c>
      <c r="F70" s="94">
        <v>0</v>
      </c>
      <c r="G70" s="94"/>
      <c r="H70" s="95">
        <v>0</v>
      </c>
      <c r="I70" s="94">
        <v>5784.1899999999996</v>
      </c>
      <c r="J70" s="94">
        <v>-28.57</v>
      </c>
      <c r="K70" s="94">
        <f t="shared" si="16"/>
        <v>5210.7799999999997</v>
      </c>
      <c r="L70" s="95">
        <f t="shared" si="9"/>
        <v>5784.1899999999996</v>
      </c>
      <c r="M70" s="94">
        <f t="shared" si="17"/>
        <v>5784.1899999999996</v>
      </c>
      <c r="N70" s="95">
        <f t="shared" si="18"/>
        <v>-28.57</v>
      </c>
      <c r="O70" s="66">
        <f t="shared" si="12"/>
        <v>10.087354597931672</v>
      </c>
      <c r="P70" s="65" t="str">
        <f t="shared" si="13"/>
        <v/>
      </c>
      <c r="Q70" s="66" t="str">
        <f t="shared" si="14"/>
        <v/>
      </c>
      <c r="R70" s="68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8" customFormat="1" ht="13.5">
      <c r="A71" s="111"/>
      <c r="B71" s="185"/>
      <c r="C71" s="119"/>
      <c r="D71" s="120" t="s">
        <v>56</v>
      </c>
      <c r="E71" s="102">
        <f>SUM(E63:E70)</f>
        <v>165881.48000000001</v>
      </c>
      <c r="F71" s="102">
        <f>SUM(F63:F70)</f>
        <v>264897.46999999997</v>
      </c>
      <c r="G71" s="103">
        <f>SUM(G63:G70)</f>
        <v>0</v>
      </c>
      <c r="H71" s="102">
        <f>SUM(H63:H70)</f>
        <v>29112.299999999999</v>
      </c>
      <c r="I71" s="118">
        <f>SUM(I63:I70)</f>
        <v>267026.03999999998</v>
      </c>
      <c r="J71" s="102">
        <f>SUM(J63:J70)</f>
        <v>7625.5600000000013</v>
      </c>
      <c r="K71" s="103">
        <f t="shared" si="16"/>
        <v>101144.55999999997</v>
      </c>
      <c r="L71" s="102">
        <f t="shared" si="9"/>
        <v>267026.03999999998</v>
      </c>
      <c r="M71" s="103">
        <f t="shared" si="17"/>
        <v>2128.570000000007</v>
      </c>
      <c r="N71" s="102">
        <f t="shared" si="18"/>
        <v>-21486.739999999998</v>
      </c>
      <c r="O71" s="121">
        <f t="shared" si="12"/>
        <v>1.609739917922121</v>
      </c>
      <c r="P71" s="104">
        <f t="shared" si="13"/>
        <v>0.26193602017016865</v>
      </c>
      <c r="Q71" s="122" t="str">
        <f t="shared" si="14"/>
        <v/>
      </c>
      <c r="R71" s="105">
        <f t="shared" si="15"/>
        <v>1.0080354485831819</v>
      </c>
      <c r="S71" s="98"/>
      <c r="T71" s="98"/>
      <c r="U71" s="98"/>
      <c r="V71" s="98"/>
      <c r="W71" s="98"/>
      <c r="X71" s="98"/>
      <c r="Y71" s="98"/>
      <c r="Z71" s="98"/>
      <c r="AA71" s="98"/>
      <c r="AB71" s="98"/>
    </row>
    <row r="72" s="35" customFormat="1" ht="13.5">
      <c r="A72" s="186"/>
      <c r="B72" s="187" t="s">
        <v>140</v>
      </c>
      <c r="C72" s="188"/>
      <c r="D72" s="189"/>
      <c r="E72" s="84">
        <f>E5+E17</f>
        <v>28404668.280447759</v>
      </c>
      <c r="F72" s="85">
        <f>F5+F17</f>
        <v>35893709.970000006</v>
      </c>
      <c r="G72" s="84">
        <f>G5+G17</f>
        <v>0</v>
      </c>
      <c r="H72" s="85">
        <f>H5+H17</f>
        <v>4795992.7000000002</v>
      </c>
      <c r="I72" s="84">
        <f>I5+I17</f>
        <v>31183649.460000005</v>
      </c>
      <c r="J72" s="85">
        <f>J5+J17</f>
        <v>1162455.1100000001</v>
      </c>
      <c r="K72" s="84">
        <f t="shared" si="16"/>
        <v>2778981.1795522459</v>
      </c>
      <c r="L72" s="85">
        <f t="shared" si="9"/>
        <v>31183649.460000005</v>
      </c>
      <c r="M72" s="84">
        <f t="shared" si="17"/>
        <v>-4710060.5100000016</v>
      </c>
      <c r="N72" s="85">
        <f t="shared" si="18"/>
        <v>-3633537.5899999999</v>
      </c>
      <c r="O72" s="43">
        <f t="shared" si="12"/>
        <v>1.097835368190698</v>
      </c>
      <c r="P72" s="42">
        <f t="shared" si="13"/>
        <v>0.24238050028725025</v>
      </c>
      <c r="Q72" s="43" t="str">
        <f t="shared" si="14"/>
        <v/>
      </c>
      <c r="R72" s="45">
        <f t="shared" si="15"/>
        <v>0.86877755144462154</v>
      </c>
      <c r="S72" s="35"/>
      <c r="T72" s="35"/>
      <c r="U72" s="35"/>
      <c r="V72" s="35"/>
      <c r="W72" s="35"/>
      <c r="X72" s="35"/>
      <c r="Y72" s="35"/>
      <c r="Z72" s="35"/>
    </row>
    <row r="73" s="35" customFormat="1" ht="13.5">
      <c r="A73" s="190"/>
      <c r="B73" s="191" t="s">
        <v>141</v>
      </c>
      <c r="C73" s="192"/>
      <c r="D73" s="193"/>
      <c r="E73" s="194">
        <f>SUM(E74:E82)</f>
        <v>25530381.579999998</v>
      </c>
      <c r="F73" s="194">
        <f>SUM(F74:F82)</f>
        <v>27970508.159999996</v>
      </c>
      <c r="G73" s="195">
        <f>SUM(G74:G82)</f>
        <v>0</v>
      </c>
      <c r="H73" s="194">
        <f>SUM(H74:H82)</f>
        <v>2566574.71</v>
      </c>
      <c r="I73" s="165">
        <f>SUM(I74:I82)</f>
        <v>25564961.099999998</v>
      </c>
      <c r="J73" s="194">
        <f>SUM(J74:J82)</f>
        <v>2373738.3600000003</v>
      </c>
      <c r="K73" s="195">
        <f t="shared" si="16"/>
        <v>34579.519999999553</v>
      </c>
      <c r="L73" s="194">
        <f t="shared" si="9"/>
        <v>25564961.099999998</v>
      </c>
      <c r="M73" s="195">
        <f t="shared" si="17"/>
        <v>-2405547.0599999987</v>
      </c>
      <c r="N73" s="194">
        <f t="shared" si="18"/>
        <v>-192836.34999999963</v>
      </c>
      <c r="O73" s="196">
        <f t="shared" si="12"/>
        <v>1.0013544458742869</v>
      </c>
      <c r="P73" s="197">
        <f t="shared" si="13"/>
        <v>0.92486626270855776</v>
      </c>
      <c r="Q73" s="198" t="str">
        <f t="shared" si="14"/>
        <v/>
      </c>
      <c r="R73" s="199">
        <f t="shared" si="15"/>
        <v>0.91399701978099501</v>
      </c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ht="13.5">
      <c r="A74" s="200"/>
      <c r="B74" s="201"/>
      <c r="C74" s="59" t="s">
        <v>142</v>
      </c>
      <c r="D74" s="202" t="s">
        <v>143</v>
      </c>
      <c r="E74" s="94">
        <v>396670.53999999998</v>
      </c>
      <c r="F74" s="94">
        <v>449533.20000000001</v>
      </c>
      <c r="G74" s="94"/>
      <c r="H74" s="95">
        <v>0</v>
      </c>
      <c r="I74" s="94">
        <v>569352.69999999995</v>
      </c>
      <c r="J74" s="94">
        <v>2106</v>
      </c>
      <c r="K74" s="94">
        <f t="shared" si="16"/>
        <v>172682.15999999997</v>
      </c>
      <c r="L74" s="95">
        <f t="shared" ref="L74:L83" si="19">I74-G74</f>
        <v>569352.69999999995</v>
      </c>
      <c r="M74" s="94">
        <f t="shared" si="17"/>
        <v>119819.49999999994</v>
      </c>
      <c r="N74" s="95">
        <f t="shared" si="18"/>
        <v>2106</v>
      </c>
      <c r="O74" s="66">
        <f t="shared" ref="O74:O83" si="20">IFERROR(I74/E74,"")</f>
        <v>1.4353289256116675</v>
      </c>
      <c r="P74" s="65" t="str">
        <f t="shared" ref="P74:P83" si="21">IFERROR(J74/H74,"")</f>
        <v/>
      </c>
      <c r="Q74" s="66" t="str">
        <f t="shared" ref="Q74:Q83" si="22">IFERROR(I74/G74,"")</f>
        <v/>
      </c>
      <c r="R74" s="68">
        <f t="shared" ref="R74:R83" si="23">IFERROR(I74/F74,"")</f>
        <v>1.266542048507207</v>
      </c>
      <c r="S74" s="1"/>
      <c r="T74" s="1"/>
      <c r="U74" s="1"/>
      <c r="V74" s="1"/>
      <c r="W74" s="1"/>
      <c r="X74" s="1"/>
      <c r="Y74" s="1"/>
      <c r="Z74" s="1"/>
    </row>
    <row r="75" ht="13.5">
      <c r="A75" s="203"/>
      <c r="B75" s="204"/>
      <c r="C75" s="69" t="s">
        <v>144</v>
      </c>
      <c r="D75" s="205" t="s">
        <v>145</v>
      </c>
      <c r="E75" s="94">
        <v>6207009</v>
      </c>
      <c r="F75" s="94">
        <v>7417175.1900000004</v>
      </c>
      <c r="G75" s="206"/>
      <c r="H75" s="207">
        <v>274300.85999999999</v>
      </c>
      <c r="I75" s="94">
        <v>5230330.4400000004</v>
      </c>
      <c r="J75" s="94">
        <v>274300.85999999999</v>
      </c>
      <c r="K75" s="94">
        <f t="shared" si="16"/>
        <v>-976678.55999999959</v>
      </c>
      <c r="L75" s="94">
        <f t="shared" si="19"/>
        <v>5230330.4400000004</v>
      </c>
      <c r="M75" s="94">
        <f t="shared" si="17"/>
        <v>-2186844.75</v>
      </c>
      <c r="N75" s="94">
        <f t="shared" si="18"/>
        <v>0</v>
      </c>
      <c r="O75" s="65">
        <f t="shared" si="20"/>
        <v>0.84264908267411898</v>
      </c>
      <c r="P75" s="66">
        <f t="shared" si="21"/>
        <v>1</v>
      </c>
      <c r="Q75" s="67" t="str">
        <f t="shared" si="22"/>
        <v/>
      </c>
      <c r="R75" s="68">
        <f t="shared" si="23"/>
        <v>0.70516474345268909</v>
      </c>
      <c r="S75" s="1"/>
      <c r="T75" s="1"/>
      <c r="U75" s="1"/>
      <c r="V75" s="1"/>
      <c r="W75" s="1"/>
      <c r="X75" s="1"/>
      <c r="Y75" s="1"/>
      <c r="Z75" s="1"/>
    </row>
    <row r="76" ht="13.5">
      <c r="A76" s="203"/>
      <c r="B76" s="204"/>
      <c r="C76" s="59" t="s">
        <v>146</v>
      </c>
      <c r="D76" s="202" t="s">
        <v>147</v>
      </c>
      <c r="E76" s="94">
        <v>14605920.039999999</v>
      </c>
      <c r="F76" s="94">
        <v>16860705.699999999</v>
      </c>
      <c r="G76" s="207"/>
      <c r="H76" s="206">
        <v>2055447.6899999999</v>
      </c>
      <c r="I76" s="94">
        <f>16652611.19+310.29</f>
        <v>16652921.479999999</v>
      </c>
      <c r="J76" s="94">
        <f>1860770.91+310.29</f>
        <v>1861081.2</v>
      </c>
      <c r="K76" s="94">
        <f t="shared" si="16"/>
        <v>2047001.4399999995</v>
      </c>
      <c r="L76" s="94">
        <f t="shared" si="19"/>
        <v>16652921.479999999</v>
      </c>
      <c r="M76" s="94">
        <f t="shared" si="17"/>
        <v>-207784.22000000067</v>
      </c>
      <c r="N76" s="95">
        <f t="shared" si="18"/>
        <v>-194366.48999999999</v>
      </c>
      <c r="O76" s="66">
        <f t="shared" si="20"/>
        <v>1.1401487502597611</v>
      </c>
      <c r="P76" s="65">
        <f t="shared" si="21"/>
        <v>0.9054383670547218</v>
      </c>
      <c r="Q76" s="66" t="str">
        <f t="shared" si="22"/>
        <v/>
      </c>
      <c r="R76" s="68">
        <f t="shared" si="23"/>
        <v>0.98767642210847673</v>
      </c>
      <c r="S76" s="1"/>
      <c r="T76" s="1"/>
      <c r="U76" s="1"/>
      <c r="V76" s="1"/>
      <c r="W76" s="1"/>
      <c r="X76" s="1"/>
      <c r="Y76" s="1"/>
      <c r="Z76" s="1"/>
    </row>
    <row r="77" ht="13.5">
      <c r="A77" s="203"/>
      <c r="B77" s="204"/>
      <c r="C77" s="69" t="s">
        <v>148</v>
      </c>
      <c r="D77" s="208" t="s">
        <v>149</v>
      </c>
      <c r="E77" s="94">
        <v>3219449.2200000002</v>
      </c>
      <c r="F77" s="94">
        <v>3191613.1699999999</v>
      </c>
      <c r="G77" s="207"/>
      <c r="H77" s="207">
        <v>236826.16</v>
      </c>
      <c r="I77" s="94">
        <v>3108233.6600000001</v>
      </c>
      <c r="J77" s="94">
        <v>236826.16</v>
      </c>
      <c r="K77" s="94">
        <f t="shared" si="16"/>
        <v>-111215.56000000006</v>
      </c>
      <c r="L77" s="94">
        <f t="shared" si="19"/>
        <v>3108233.6600000001</v>
      </c>
      <c r="M77" s="95">
        <f t="shared" si="17"/>
        <v>-83379.509999999776</v>
      </c>
      <c r="N77" s="94">
        <f t="shared" si="18"/>
        <v>0</v>
      </c>
      <c r="O77" s="65">
        <f t="shared" si="20"/>
        <v>0.9654550973163043</v>
      </c>
      <c r="P77" s="66">
        <f t="shared" si="21"/>
        <v>1</v>
      </c>
      <c r="Q77" s="67" t="str">
        <f t="shared" si="22"/>
        <v/>
      </c>
      <c r="R77" s="68">
        <f t="shared" si="23"/>
        <v>0.97387543365726881</v>
      </c>
      <c r="S77" s="1"/>
      <c r="T77" s="1"/>
      <c r="U77" s="1"/>
      <c r="V77" s="1"/>
      <c r="W77" s="1"/>
      <c r="X77" s="1"/>
      <c r="Y77" s="1"/>
      <c r="Z77" s="1"/>
    </row>
    <row r="78" ht="13.5">
      <c r="A78" s="203"/>
      <c r="B78" s="204"/>
      <c r="C78" s="59" t="s">
        <v>150</v>
      </c>
      <c r="D78" s="209" t="s">
        <v>151</v>
      </c>
      <c r="E78" s="94">
        <v>1083.49</v>
      </c>
      <c r="F78" s="94">
        <v>0</v>
      </c>
      <c r="G78" s="94"/>
      <c r="H78" s="95">
        <v>0</v>
      </c>
      <c r="I78" s="94">
        <v>8310.2399999999998</v>
      </c>
      <c r="J78" s="94">
        <v>0</v>
      </c>
      <c r="K78" s="94">
        <f t="shared" si="16"/>
        <v>7226.75</v>
      </c>
      <c r="L78" s="94">
        <f t="shared" si="19"/>
        <v>8310.2399999999998</v>
      </c>
      <c r="M78" s="94">
        <f t="shared" si="17"/>
        <v>8310.2399999999998</v>
      </c>
      <c r="N78" s="95">
        <f t="shared" si="18"/>
        <v>0</v>
      </c>
      <c r="O78" s="66">
        <f t="shared" si="20"/>
        <v>7.6698815863552037</v>
      </c>
      <c r="P78" s="65" t="str">
        <f t="shared" si="21"/>
        <v/>
      </c>
      <c r="Q78" s="66" t="str">
        <f t="shared" si="22"/>
        <v/>
      </c>
      <c r="R78" s="68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03"/>
      <c r="B79" s="204"/>
      <c r="C79" s="59" t="s">
        <v>152</v>
      </c>
      <c r="D79" s="208" t="s">
        <v>153</v>
      </c>
      <c r="E79" s="94">
        <v>1150220.01</v>
      </c>
      <c r="F79" s="94">
        <v>44836.290000000001</v>
      </c>
      <c r="G79" s="95"/>
      <c r="H79" s="94">
        <v>0</v>
      </c>
      <c r="I79" s="94">
        <v>44836.290000000001</v>
      </c>
      <c r="J79" s="94">
        <v>0</v>
      </c>
      <c r="K79" s="94">
        <f t="shared" si="16"/>
        <v>-1105383.72</v>
      </c>
      <c r="L79" s="94">
        <f t="shared" si="19"/>
        <v>44836.290000000001</v>
      </c>
      <c r="M79" s="94">
        <f t="shared" si="17"/>
        <v>0</v>
      </c>
      <c r="N79" s="94">
        <f t="shared" si="18"/>
        <v>0</v>
      </c>
      <c r="O79" s="66">
        <f t="shared" si="20"/>
        <v>0.038980620759675358</v>
      </c>
      <c r="P79" s="66" t="str">
        <f t="shared" si="21"/>
        <v/>
      </c>
      <c r="Q79" s="66" t="str">
        <f t="shared" si="22"/>
        <v/>
      </c>
      <c r="R79" s="68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13.5" hidden="1">
      <c r="A80" s="210"/>
      <c r="B80" s="204"/>
      <c r="C80" s="59" t="s">
        <v>154</v>
      </c>
      <c r="D80" s="211" t="s">
        <v>155</v>
      </c>
      <c r="E80" s="61"/>
      <c r="F80" s="61">
        <v>0</v>
      </c>
      <c r="G80" s="61"/>
      <c r="H80" s="62">
        <v>0</v>
      </c>
      <c r="I80" s="61">
        <v>0</v>
      </c>
      <c r="J80" s="61">
        <v>0</v>
      </c>
      <c r="K80" s="61">
        <f t="shared" si="16"/>
        <v>0</v>
      </c>
      <c r="L80" s="61">
        <f t="shared" si="19"/>
        <v>0</v>
      </c>
      <c r="M80" s="61">
        <f t="shared" si="17"/>
        <v>0</v>
      </c>
      <c r="N80" s="62">
        <f t="shared" si="18"/>
        <v>0</v>
      </c>
      <c r="O80" s="212" t="str">
        <f t="shared" si="20"/>
        <v/>
      </c>
      <c r="P80" s="65" t="str">
        <f t="shared" si="21"/>
        <v/>
      </c>
      <c r="Q80" s="66" t="str">
        <f t="shared" si="22"/>
        <v/>
      </c>
      <c r="R80" s="68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03"/>
      <c r="B81" s="204"/>
      <c r="C81" s="213" t="s">
        <v>156</v>
      </c>
      <c r="D81" s="214" t="s">
        <v>157</v>
      </c>
      <c r="E81" s="94">
        <v>92623.070000000007</v>
      </c>
      <c r="F81" s="94">
        <v>6644.6099999999997</v>
      </c>
      <c r="G81" s="95"/>
      <c r="H81" s="94">
        <v>0</v>
      </c>
      <c r="I81" s="94">
        <v>27707.669999999998</v>
      </c>
      <c r="J81" s="94">
        <v>0.12</v>
      </c>
      <c r="K81" s="94">
        <f t="shared" si="16"/>
        <v>-64915.400000000009</v>
      </c>
      <c r="L81" s="94">
        <f t="shared" si="19"/>
        <v>27707.669999999998</v>
      </c>
      <c r="M81" s="94">
        <f t="shared" si="17"/>
        <v>21063.059999999998</v>
      </c>
      <c r="N81" s="94">
        <f t="shared" si="18"/>
        <v>0.12</v>
      </c>
      <c r="O81" s="65">
        <f t="shared" si="20"/>
        <v>0.29914437083547324</v>
      </c>
      <c r="P81" s="66" t="str">
        <f t="shared" si="21"/>
        <v/>
      </c>
      <c r="Q81" s="67" t="str">
        <f t="shared" si="22"/>
        <v/>
      </c>
      <c r="R81" s="68">
        <f t="shared" si="23"/>
        <v>4.1699467688848557</v>
      </c>
      <c r="S81" s="1"/>
      <c r="T81" s="1"/>
      <c r="U81" s="1"/>
      <c r="V81" s="1"/>
      <c r="W81" s="1"/>
      <c r="X81" s="1"/>
      <c r="Y81" s="1"/>
      <c r="Z81" s="1"/>
    </row>
    <row r="82" ht="13.5">
      <c r="A82" s="203"/>
      <c r="B82" s="201"/>
      <c r="C82" s="215" t="s">
        <v>158</v>
      </c>
      <c r="D82" s="216" t="s">
        <v>159</v>
      </c>
      <c r="E82" s="94">
        <v>-142593.79000000001</v>
      </c>
      <c r="F82" s="94">
        <v>0</v>
      </c>
      <c r="G82" s="94"/>
      <c r="H82" s="95">
        <v>0</v>
      </c>
      <c r="I82" s="94">
        <v>-76731.380000000005</v>
      </c>
      <c r="J82" s="94">
        <v>-575.98000000000002</v>
      </c>
      <c r="K82" s="118">
        <f t="shared" si="16"/>
        <v>65862.410000000003</v>
      </c>
      <c r="L82" s="95">
        <f t="shared" si="19"/>
        <v>-76731.380000000005</v>
      </c>
      <c r="M82" s="118">
        <f t="shared" si="17"/>
        <v>-76731.380000000005</v>
      </c>
      <c r="N82" s="95">
        <f t="shared" si="18"/>
        <v>-575.98000000000002</v>
      </c>
      <c r="O82" s="78">
        <f t="shared" si="20"/>
        <v>0.53811165268838146</v>
      </c>
      <c r="P82" s="65" t="str">
        <f t="shared" si="21"/>
        <v/>
      </c>
      <c r="Q82" s="78" t="str">
        <f t="shared" si="22"/>
        <v/>
      </c>
      <c r="R82" s="79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5" customFormat="1" ht="13.5">
      <c r="A83" s="217"/>
      <c r="B83" s="187" t="s">
        <v>160</v>
      </c>
      <c r="C83" s="188"/>
      <c r="D83" s="189"/>
      <c r="E83" s="84">
        <f>E72+E73</f>
        <v>53935049.860447757</v>
      </c>
      <c r="F83" s="84">
        <f>F72+F73</f>
        <v>63864218.130000003</v>
      </c>
      <c r="G83" s="84">
        <f>G72+G73</f>
        <v>0</v>
      </c>
      <c r="H83" s="84">
        <f>H72+H73</f>
        <v>7362567.4100000001</v>
      </c>
      <c r="I83" s="84">
        <f>I72+I73</f>
        <v>56748610.560000002</v>
      </c>
      <c r="J83" s="84">
        <f>J72+J73</f>
        <v>3536193.4700000007</v>
      </c>
      <c r="K83" s="84">
        <f t="shared" si="16"/>
        <v>2813560.6995522454</v>
      </c>
      <c r="L83" s="84">
        <f t="shared" si="19"/>
        <v>56748610.560000002</v>
      </c>
      <c r="M83" s="84">
        <f t="shared" si="17"/>
        <v>-7115607.5700000003</v>
      </c>
      <c r="N83" s="84">
        <f t="shared" si="18"/>
        <v>-3826373.9399999995</v>
      </c>
      <c r="O83" s="43">
        <f t="shared" si="20"/>
        <v>1.0521657198210086</v>
      </c>
      <c r="P83" s="43">
        <f t="shared" si="21"/>
        <v>0.48029352711895923</v>
      </c>
      <c r="Q83" s="43" t="str">
        <f t="shared" si="22"/>
        <v/>
      </c>
      <c r="R83" s="45">
        <f t="shared" si="23"/>
        <v>0.88858224874035574</v>
      </c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ht="13.5">
      <c r="A84" s="218" t="s">
        <v>161</v>
      </c>
      <c r="B84" s="219" t="s">
        <v>162</v>
      </c>
      <c r="C84" s="3"/>
      <c r="D84" s="220"/>
      <c r="E84" s="221"/>
      <c r="F84" s="221"/>
      <c r="G84" s="221"/>
      <c r="H84" s="221"/>
      <c r="I84" s="222"/>
      <c r="J84" s="222"/>
      <c r="K84" s="222"/>
      <c r="L84" s="222"/>
      <c r="M84" s="221"/>
      <c r="N84" s="221"/>
      <c r="O84" s="221"/>
      <c r="S84" s="1"/>
      <c r="T84" s="1"/>
      <c r="U84" s="1"/>
      <c r="V84" s="1"/>
      <c r="W84" s="1"/>
      <c r="X84" s="1"/>
      <c r="Y84" s="1"/>
    </row>
    <row r="85" ht="13.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I86" s="5"/>
      <c r="J86" s="5"/>
      <c r="S86" s="1"/>
      <c r="T86" s="1"/>
      <c r="U86" s="1"/>
      <c r="V86" s="1"/>
      <c r="W86" s="1"/>
      <c r="X86" s="1"/>
      <c r="Y86" s="1"/>
    </row>
    <row r="87" ht="12.75">
      <c r="I87" s="5"/>
      <c r="J87" s="5"/>
      <c r="S87" s="1"/>
      <c r="T87" s="1"/>
      <c r="U87" s="1"/>
      <c r="V87" s="1"/>
      <c r="W87" s="1"/>
      <c r="X87" s="1"/>
      <c r="Y87" s="1"/>
      <c r="Z87" s="1"/>
    </row>
    <row r="88" ht="12.75">
      <c r="I88" s="5"/>
      <c r="J88" s="5"/>
      <c r="S88" s="1"/>
      <c r="T88" s="1"/>
      <c r="U88" s="1"/>
      <c r="V88" s="1"/>
      <c r="W88" s="1"/>
      <c r="X88" s="1"/>
      <c r="Y88" s="1"/>
    </row>
    <row r="89" ht="12.75">
      <c r="I89" s="5"/>
      <c r="J89" s="5"/>
      <c r="S89" s="1"/>
      <c r="T89" s="1"/>
      <c r="U89" s="1"/>
      <c r="V89" s="1"/>
      <c r="W89" s="1"/>
      <c r="X89" s="1"/>
      <c r="Y89" s="1"/>
    </row>
    <row r="90" ht="12.75">
      <c r="I90" s="5"/>
      <c r="J90" s="5"/>
      <c r="S90" s="1"/>
      <c r="T90" s="1"/>
      <c r="U90" s="1"/>
      <c r="V90" s="1"/>
      <c r="W90" s="1"/>
      <c r="X90" s="1"/>
      <c r="Y90" s="1"/>
    </row>
    <row r="91" ht="12.75">
      <c r="I91" s="5"/>
      <c r="J91" s="5"/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39370078740157477" bottom="0.33070866141732286" header="0.19685039370078738" footer="0.15748031496062992"/>
  <pageSetup paperSize="9" scale="58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yuryeva-oi</cp:lastModifiedBy>
  <cp:revision>212</cp:revision>
  <dcterms:created xsi:type="dcterms:W3CDTF">2015-02-26T11:08:47Z</dcterms:created>
  <dcterms:modified xsi:type="dcterms:W3CDTF">2025-12-15T06:44:38Z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