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3.03." sheetId="1" state="visible" r:id="rId1"/>
  </sheets>
  <definedNames>
    <definedName name="_xlnm._FilterDatabase" localSheetId="0" hidden="1">'на 23.03.'!$A$4:$R$84</definedName>
    <definedName name="_xlnm.Print_Area" localSheetId="0" hidden="0">'на 23.03.'!$A$1:$R$84</definedName>
    <definedName name="Print_Titles" localSheetId="0" hidden="0">'на 23.03.'!$3:$4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23.03.'!$A$4:$R$84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<sst xmlns="http://schemas.openxmlformats.org/spreadsheetml/2006/main" count="164" uniqueCount="164">
  <si>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</si>
  <si>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</si>
  <si>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</si>
  <si>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</si>
  <si>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</si>
  <si>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</si>
  <si>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20.03.2025 вкл.)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</si>
  <si>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</si>
  <si>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</si>
  <si>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</si>
  <si>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</si>
  <si>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</si>
  <si>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</si>
  <si>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</si>
  <si>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</si>
  <si>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март</t>
  </si>
  <si>
    <t>март</t>
  </si>
  <si>
    <t xml:space="preserve">с нач. года на 23.03.2026 (по 20.03.2026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</si>
  <si>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</si>
  <si>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</si>
  <si>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</si>
  <si>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март от плана марта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</si>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</sst>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1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color indexed="2"/>
      <name val="Times New Roman"/>
    </font>
    <font>
      <b/>
      <sz val="16.000000"/>
      <name val="Times New Roman"/>
    </font>
    <font>
      <b/>
      <sz val="7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6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9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4" numFmtId="163" xfId="0" applyNumberFormat="1" applyFont="1" applyBorder="1" applyAlignment="1">
      <alignment horizontal="center" vertical="center" wrapText="1"/>
    </xf>
    <xf fontId="11" fillId="0" borderId="6" numFmtId="163" xfId="0" applyNumberFormat="1" applyFont="1" applyBorder="1" applyAlignment="1">
      <alignment horizontal="center" vertical="center" wrapText="1"/>
    </xf>
    <xf fontId="11" fillId="0" borderId="3" numFmtId="164" xfId="105" applyNumberFormat="1" applyFont="1" applyBorder="1" applyAlignment="1" applyProtection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0" borderId="0" numFmtId="163" xfId="0" applyNumberFormat="1" applyFont="1" applyAlignment="1">
      <alignment horizontal="center" vertical="center" wrapText="1"/>
    </xf>
    <xf fontId="12" fillId="0" borderId="3" numFmtId="163" xfId="0" applyNumberFormat="1" applyFont="1" applyBorder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3" fillId="0" borderId="0" numFmtId="0" xfId="0" applyFont="1" applyAlignment="1">
      <alignment vertical="center"/>
    </xf>
    <xf fontId="13" fillId="0" borderId="7" numFmtId="49" xfId="0" applyNumberFormat="1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left" vertical="center"/>
    </xf>
    <xf fontId="13" fillId="0" borderId="10" numFmtId="0" xfId="0" applyFont="1" applyBorder="1" applyAlignment="1">
      <alignment horizontal="center" vertical="center" wrapText="1"/>
    </xf>
    <xf fontId="13" fillId="0" borderId="10" numFmtId="162" xfId="0" applyNumberFormat="1" applyFont="1" applyBorder="1" applyAlignment="1">
      <alignment vertical="center" wrapText="1"/>
    </xf>
    <xf fontId="13" fillId="0" borderId="11" numFmtId="162" xfId="0" applyNumberFormat="1" applyFont="1" applyBorder="1" applyAlignment="1">
      <alignment vertical="center" wrapText="1"/>
    </xf>
    <xf fontId="13" fillId="0" borderId="9" numFmtId="162" xfId="0" applyNumberFormat="1" applyFont="1" applyBorder="1" applyAlignment="1">
      <alignment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3" fillId="0" borderId="11" numFmtId="164" xfId="0" applyNumberFormat="1" applyFont="1" applyBorder="1" applyAlignment="1">
      <alignment horizontal="right" vertical="center" wrapText="1"/>
    </xf>
    <xf fontId="13" fillId="0" borderId="10" numFmtId="164" xfId="0" applyNumberFormat="1" applyFont="1" applyBorder="1" applyAlignment="1">
      <alignment horizontal="right" vertical="center" wrapText="1"/>
    </xf>
    <xf fontId="13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/>
    </xf>
    <xf fontId="5" fillId="0" borderId="21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7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3" fillId="0" borderId="8" numFmtId="165" xfId="0" applyNumberFormat="1" applyFont="1" applyBorder="1" applyAlignment="1">
      <alignment horizontal="center" vertical="center" wrapText="1"/>
    </xf>
    <xf fontId="13" fillId="0" borderId="9" numFmtId="165" xfId="0" applyNumberFormat="1" applyFont="1" applyBorder="1" applyAlignment="1">
      <alignment horizontal="center" vertical="center" wrapText="1"/>
    </xf>
    <xf fontId="9" fillId="0" borderId="9" numFmtId="165" xfId="0" applyNumberFormat="1" applyFont="1" applyBorder="1" applyAlignment="1">
      <alignment horizontal="left" vertical="center"/>
    </xf>
    <xf fontId="13" fillId="0" borderId="10" numFmtId="165" xfId="0" applyNumberFormat="1" applyFont="1" applyBorder="1" applyAlignment="1">
      <alignment horizontal="center" vertical="center" wrapText="1"/>
    </xf>
    <xf fontId="13" fillId="0" borderId="11" numFmtId="162" xfId="0" applyNumberFormat="1" applyFont="1" applyBorder="1" applyAlignment="1">
      <alignment horizontal="right" vertical="center" wrapText="1"/>
    </xf>
    <xf fontId="13" fillId="0" borderId="9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31" numFmtId="162" xfId="0" applyNumberFormat="1" applyFont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4" fillId="0" borderId="0" numFmtId="0" xfId="0" applyFont="1" applyAlignment="1">
      <alignment vertical="center"/>
    </xf>
    <xf fontId="14" fillId="0" borderId="32" numFmtId="49" xfId="0" applyNumberFormat="1" applyFont="1" applyBorder="1" applyAlignment="1">
      <alignment horizontal="center" vertical="center" wrapText="1"/>
    </xf>
    <xf fontId="14" fillId="0" borderId="33" numFmtId="0" xfId="0" applyFont="1" applyBorder="1" applyAlignment="1">
      <alignment horizontal="center" vertical="center" wrapText="1"/>
    </xf>
    <xf fontId="15" fillId="0" borderId="34" numFmtId="49" xfId="0" applyNumberFormat="1" applyFont="1" applyBorder="1" applyAlignment="1">
      <alignment horizontal="left" vertical="center"/>
    </xf>
    <xf fontId="14" fillId="0" borderId="35" numFmtId="0" xfId="0" applyFont="1" applyBorder="1" applyAlignment="1">
      <alignment vertical="center" wrapText="1"/>
    </xf>
    <xf fontId="14" fillId="0" borderId="34" numFmtId="162" xfId="0" applyNumberFormat="1" applyFont="1" applyBorder="1" applyAlignment="1">
      <alignment horizontal="right"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4" numFmtId="164" xfId="0" applyNumberFormat="1" applyFont="1" applyBorder="1" applyAlignment="1">
      <alignment horizontal="right" vertical="center" wrapText="1"/>
    </xf>
    <xf fontId="14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8" numFmtId="0" xfId="0" applyFont="1" applyBorder="1" applyAlignment="1">
      <alignment horizontal="left" vertical="center" wrapText="1"/>
    </xf>
    <xf fontId="5" fillId="0" borderId="31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/>
    </xf>
    <xf fontId="5" fillId="0" borderId="6" numFmtId="162" xfId="0" applyNumberFormat="1" applyFont="1" applyBorder="1" applyAlignment="1">
      <alignment horizontal="righ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/>
    </xf>
    <xf fontId="16" fillId="0" borderId="4" numFmtId="165" xfId="0" applyNumberFormat="1" applyFont="1" applyBorder="1" applyAlignment="1">
      <alignment vertical="center" wrapText="1"/>
    </xf>
    <xf fontId="14" fillId="0" borderId="37" numFmtId="0" xfId="0" applyFont="1" applyBorder="1" applyAlignment="1">
      <alignment horizontal="center" vertical="center" wrapText="1"/>
    </xf>
    <xf fontId="15" fillId="0" borderId="35" numFmtId="49" xfId="0" applyNumberFormat="1" applyFont="1" applyBorder="1" applyAlignment="1">
      <alignment horizontal="left" vertical="center"/>
    </xf>
    <xf fontId="14" fillId="0" borderId="34" numFmtId="0" xfId="0" applyFont="1" applyBorder="1" applyAlignment="1">
      <alignment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39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0" borderId="21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17" fillId="0" borderId="0" numFmtId="0" xfId="0" applyFont="1" applyAlignment="1">
      <alignment vertical="center"/>
    </xf>
    <xf fontId="14" fillId="0" borderId="29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5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3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5" fillId="0" borderId="21" numFmtId="0" xfId="0" applyFont="1" applyBorder="1" applyAlignment="1">
      <alignment horizontal="left" vertical="center"/>
    </xf>
    <xf fontId="17" fillId="0" borderId="21" numFmtId="0" xfId="0" applyFont="1" applyBorder="1" applyAlignment="1">
      <alignment horizontal="lef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4" fillId="0" borderId="33" numFmtId="49" xfId="0" applyNumberFormat="1" applyFont="1" applyBorder="1" applyAlignment="1">
      <alignment horizontal="center" vertical="center" wrapText="1"/>
    </xf>
    <xf fontId="5" fillId="0" borderId="4" numFmtId="165" xfId="0" applyNumberFormat="1" applyFont="1" applyBorder="1" applyAlignment="1">
      <alignment vertical="center" wrapText="1"/>
    </xf>
    <xf fontId="14" fillId="0" borderId="34" numFmtId="162" xfId="0" applyNumberFormat="1" applyFont="1" applyBorder="1" applyAlignment="1">
      <alignment vertical="center" wrapText="1"/>
    </xf>
    <xf fontId="14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vertical="center" wrapText="1"/>
    </xf>
    <xf fontId="6" fillId="0" borderId="40" numFmtId="0" xfId="0" applyFont="1" applyBorder="1" applyAlignment="1">
      <alignment horizontal="center" vertical="center" wrapText="1"/>
    </xf>
    <xf fontId="19" fillId="0" borderId="21" numFmtId="165" xfId="0" applyNumberFormat="1" applyFont="1" applyBorder="1" applyAlignment="1">
      <alignment horizontal="right" vertical="center" wrapText="1"/>
    </xf>
    <xf fontId="13" fillId="0" borderId="21" numFmtId="162" xfId="0" applyNumberFormat="1" applyFont="1" applyBorder="1" applyAlignment="1">
      <alignment horizontal="right" vertical="center" wrapText="1"/>
    </xf>
    <xf fontId="13" fillId="0" borderId="18" numFmtId="162" xfId="0" applyNumberFormat="1" applyFont="1" applyBorder="1" applyAlignment="1">
      <alignment horizontal="right" vertical="center" wrapText="1"/>
    </xf>
    <xf fontId="13" fillId="0" borderId="21" numFmtId="4" xfId="0" applyNumberFormat="1" applyFont="1" applyBorder="1" applyAlignment="1">
      <alignment horizontal="right" vertical="center" wrapText="1"/>
    </xf>
    <xf fontId="13" fillId="0" borderId="21" numFmtId="164" xfId="0" applyNumberFormat="1" applyFont="1" applyBorder="1" applyAlignment="1">
      <alignment horizontal="right" vertical="center" wrapText="1"/>
    </xf>
    <xf fontId="13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41" numFmtId="165" xfId="0" applyNumberFormat="1" applyFont="1" applyBorder="1" applyAlignment="1">
      <alignment vertical="center" wrapText="1"/>
    </xf>
    <xf fontId="5" fillId="0" borderId="22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5" fillId="0" borderId="42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/>
    </xf>
    <xf fontId="5" fillId="0" borderId="18" numFmtId="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3" numFmtId="164" xfId="0" applyNumberFormat="1" applyFont="1" applyBorder="1" applyAlignment="1">
      <alignment horizontal="right" vertical="center" wrapText="1"/>
    </xf>
    <xf fontId="18" fillId="0" borderId="44" numFmtId="0" xfId="0" applyFont="1" applyBorder="1" applyAlignment="1">
      <alignment horizontal="center" vertical="center" wrapText="1"/>
    </xf>
    <xf fontId="5" fillId="0" borderId="45" numFmtId="162" xfId="0" applyNumberFormat="1" applyFont="1" applyBorder="1" applyAlignment="1">
      <alignment horizontal="right" vertical="center" wrapText="1"/>
    </xf>
    <xf fontId="14" fillId="0" borderId="32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0" fillId="0" borderId="24" numFmtId="164" xfId="0" applyNumberFormat="1" applyFont="1" applyBorder="1" applyAlignment="1">
      <alignment horizontal="right" vertical="center" wrapText="1"/>
    </xf>
    <xf fontId="10" fillId="0" borderId="0" numFmtId="164" xfId="0" applyNumberFormat="1" applyFont="1" applyAlignment="1">
      <alignment horizontal="right" vertical="center" wrapText="1"/>
    </xf>
    <xf fontId="10" fillId="0" borderId="21" numFmtId="164" xfId="0" applyNumberFormat="1" applyFont="1" applyBorder="1" applyAlignment="1">
      <alignment horizontal="right" vertical="center" wrapText="1"/>
    </xf>
    <xf fontId="14" fillId="0" borderId="3" numFmtId="162" xfId="0" applyNumberFormat="1" applyFont="1" applyBorder="1" applyAlignment="1">
      <alignment horizontal="right" vertical="center" wrapText="1"/>
    </xf>
    <xf fontId="13" fillId="0" borderId="32" numFmtId="0" xfId="0" applyFont="1" applyBorder="1" applyAlignment="1">
      <alignment vertical="center"/>
    </xf>
    <xf fontId="13" fillId="0" borderId="8" numFmtId="167" xfId="0" applyNumberFormat="1" applyFont="1" applyBorder="1" applyAlignment="1">
      <alignment horizontal="center" vertical="center" wrapText="1"/>
    </xf>
    <xf fontId="9" fillId="0" borderId="9" numFmtId="167" xfId="0" applyNumberFormat="1" applyFont="1" applyBorder="1" applyAlignment="1">
      <alignment horizontal="left" vertical="center"/>
    </xf>
    <xf fontId="13" fillId="0" borderId="10" numFmtId="167" xfId="0" applyNumberFormat="1" applyFont="1" applyBorder="1" applyAlignment="1">
      <alignment horizontal="center" vertical="center" wrapText="1"/>
    </xf>
    <xf fontId="13" fillId="0" borderId="32" numFmtId="49" xfId="0" applyNumberFormat="1" applyFont="1" applyBorder="1" applyAlignment="1">
      <alignment vertical="center" wrapText="1"/>
    </xf>
    <xf fontId="13" fillId="0" borderId="46" numFmtId="165" xfId="0" applyNumberFormat="1" applyFont="1" applyBorder="1" applyAlignment="1">
      <alignment horizontal="center" vertical="center" wrapText="1"/>
    </xf>
    <xf fontId="9" fillId="0" borderId="47" numFmtId="165" xfId="0" applyNumberFormat="1" applyFont="1" applyBorder="1" applyAlignment="1">
      <alignment horizontal="left" vertical="center"/>
    </xf>
    <xf fontId="13" fillId="0" borderId="30" numFmtId="165" xfId="0" applyNumberFormat="1" applyFont="1" applyBorder="1" applyAlignment="1">
      <alignment horizontal="center" vertical="center" wrapText="1"/>
    </xf>
    <xf fontId="13" fillId="0" borderId="14" numFmtId="162" xfId="0" applyNumberFormat="1" applyFont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14" numFmtId="164" xfId="0" applyNumberFormat="1" applyFont="1" applyBorder="1" applyAlignment="1">
      <alignment horizontal="right" vertical="center" wrapText="1"/>
    </xf>
    <xf fontId="13" fillId="0" borderId="23" numFmtId="164" xfId="0" applyNumberFormat="1" applyFont="1" applyBorder="1" applyAlignment="1">
      <alignment horizontal="right" vertical="center" wrapText="1"/>
    </xf>
    <xf fontId="13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2" fillId="0" borderId="25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2" fillId="0" borderId="20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20" fillId="0" borderId="6" numFmtId="162" xfId="0" applyNumberFormat="1" applyFont="1" applyBorder="1" applyAlignment="1">
      <alignment horizontal="right" vertical="center" wrapText="1"/>
    </xf>
    <xf fontId="13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17" numFmtId="49" xfId="0" applyNumberFormat="1" applyFont="1" applyBorder="1" applyAlignment="1">
      <alignment horizontal="left" vertical="center"/>
    </xf>
    <xf fontId="7" fillId="0" borderId="23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5" fillId="0" borderId="34" numFmtId="162" xfId="0" applyNumberFormat="1" applyFont="1" applyBorder="1" applyAlignment="1">
      <alignment horizontal="right" vertical="center" wrapText="1"/>
    </xf>
    <xf fontId="20" fillId="0" borderId="50" numFmtId="162" xfId="0" applyNumberFormat="1" applyFont="1" applyBorder="1" applyAlignment="1">
      <alignment horizontal="right" vertical="center" wrapText="1"/>
    </xf>
    <xf fontId="13" fillId="0" borderId="51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1" width="8.28515625"/>
    <col customWidth="1" min="2" max="2" style="2" width="11.140625"/>
    <col customWidth="1" hidden="1" min="3" max="3" style="3" width="13.8515625"/>
    <col customWidth="1" min="4" max="4" style="1" width="74.140625"/>
    <col customWidth="1" min="5" max="5" style="4" width="15.7109375"/>
    <col customWidth="1" min="6" max="6" style="1" width="16.140625"/>
    <col customWidth="1" min="7" max="7" style="1" width="15.8515625"/>
    <col customWidth="1" min="8" max="8" style="4" width="14.8515625"/>
    <col customWidth="1" min="9" max="9" style="5" width="16.28125"/>
    <col customWidth="1" min="10" max="10" style="5" width="15.28515625"/>
    <col customWidth="1" min="11" max="11" style="5" width="14.421875"/>
    <col customWidth="1" min="12" max="12" style="5" width="15.7109375"/>
    <col customWidth="1" min="13" max="13" style="1" width="16.57421875"/>
    <col customWidth="1" min="14" max="14" style="1" width="14.851562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min="19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3"/>
      <c r="D2" s="10"/>
      <c r="E2" s="11"/>
      <c r="F2" s="10"/>
      <c r="G2" s="10"/>
      <c r="H2" s="12"/>
      <c r="I2" s="13"/>
      <c r="J2" s="13"/>
      <c r="K2" s="13"/>
      <c r="L2" s="13"/>
      <c r="M2" s="10"/>
      <c r="N2" s="10"/>
      <c r="O2" s="10"/>
      <c r="P2" s="12"/>
      <c r="Q2" s="12"/>
      <c r="R2" s="14" t="s">
        <v>1</v>
      </c>
      <c r="S2" s="1"/>
      <c r="T2" s="1"/>
      <c r="U2" s="1"/>
      <c r="V2" s="1"/>
      <c r="W2" s="1"/>
      <c r="X2" s="1"/>
      <c r="Y2" s="1"/>
      <c r="Z2" s="1"/>
    </row>
    <row r="3" s="15" customFormat="1" ht="18.75" customHeight="1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19" t="s">
        <v>10</v>
      </c>
      <c r="P3" s="26" t="s">
        <v>11</v>
      </c>
      <c r="Q3" s="26" t="s">
        <v>12</v>
      </c>
      <c r="R3" s="19" t="s">
        <v>13</v>
      </c>
      <c r="S3" s="15"/>
      <c r="T3" s="15"/>
      <c r="U3" s="15"/>
      <c r="V3" s="15"/>
      <c r="W3" s="15"/>
      <c r="X3" s="15"/>
      <c r="Y3" s="15"/>
      <c r="Z3" s="15"/>
    </row>
    <row r="4" s="15" customFormat="1" ht="62.25" customHeight="1">
      <c r="A4" s="16"/>
      <c r="B4" s="17"/>
      <c r="C4" s="18"/>
      <c r="D4" s="19"/>
      <c r="E4" s="20"/>
      <c r="F4" s="27" t="s">
        <v>14</v>
      </c>
      <c r="G4" s="27" t="s">
        <v>15</v>
      </c>
      <c r="H4" s="28" t="s">
        <v>16</v>
      </c>
      <c r="I4" s="29" t="s">
        <v>17</v>
      </c>
      <c r="J4" s="29" t="s">
        <v>16</v>
      </c>
      <c r="K4" s="30" t="s">
        <v>18</v>
      </c>
      <c r="L4" s="31" t="s">
        <v>19</v>
      </c>
      <c r="M4" s="30" t="s">
        <v>20</v>
      </c>
      <c r="N4" s="31" t="s">
        <v>21</v>
      </c>
      <c r="O4" s="19"/>
      <c r="P4" s="26"/>
      <c r="Q4" s="26"/>
      <c r="R4" s="19"/>
      <c r="S4" s="15"/>
      <c r="T4" s="15"/>
      <c r="U4" s="15"/>
      <c r="V4" s="15"/>
      <c r="W4" s="15"/>
      <c r="X4" s="15"/>
      <c r="Y4" s="15"/>
      <c r="Z4" s="15"/>
    </row>
    <row r="5" s="32" customFormat="1" ht="23.25" customHeight="1">
      <c r="A5" s="33"/>
      <c r="B5" s="34" t="s">
        <v>22</v>
      </c>
      <c r="C5" s="35"/>
      <c r="D5" s="36"/>
      <c r="E5" s="37">
        <f>SUM(E6:E16)</f>
        <v>3316013.7899999991</v>
      </c>
      <c r="F5" s="38">
        <f>SUM(F6:F16)</f>
        <v>28873554.000000004</v>
      </c>
      <c r="G5" s="38">
        <f>SUM(G6:G16)</f>
        <v>4740249</v>
      </c>
      <c r="H5" s="38">
        <f>SUM(H6:H16)</f>
        <v>2138678.2000000002</v>
      </c>
      <c r="I5" s="38">
        <f>SUM(I6:I16)</f>
        <v>3750428.4400000004</v>
      </c>
      <c r="J5" s="38">
        <f>SUM(J6:J16)</f>
        <v>1440265.71</v>
      </c>
      <c r="K5" s="38">
        <f>SUM(K6:K16)</f>
        <v>434414.64999999962</v>
      </c>
      <c r="L5" s="38">
        <f>SUM(L6:L16)</f>
        <v>-989820.56000000099</v>
      </c>
      <c r="M5" s="39">
        <f>SUM(M6:M16)</f>
        <v>-25123125.559999999</v>
      </c>
      <c r="N5" s="38">
        <f>SUM(N6:N16)</f>
        <v>-698412.49000000011</v>
      </c>
      <c r="O5" s="40">
        <f t="shared" ref="O5:O9" si="0">IFERROR(I5/E5,"")</f>
        <v>1.1310050794451012</v>
      </c>
      <c r="P5" s="41">
        <f t="shared" ref="P5:P9" si="1">IFERROR(J5/H5,"")</f>
        <v>0.67343731749825653</v>
      </c>
      <c r="Q5" s="42">
        <f t="shared" ref="Q5:Q9" si="2">IFERROR(I5/G5,"")</f>
        <v>0.79118806628090643</v>
      </c>
      <c r="R5" s="43">
        <f t="shared" ref="R5:R9" si="3">IFERROR(I5/F5,"")</f>
        <v>0.12989147231407674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ht="18.75" customHeight="1">
      <c r="A6" s="44"/>
      <c r="B6" s="45" t="s">
        <v>23</v>
      </c>
      <c r="C6" s="46" t="s">
        <v>24</v>
      </c>
      <c r="D6" s="47" t="s">
        <v>25</v>
      </c>
      <c r="E6" s="48">
        <v>2368574.3799999999</v>
      </c>
      <c r="F6" s="49">
        <f>22841274.9-1013674.9</f>
        <v>21827600</v>
      </c>
      <c r="G6" s="50">
        <f>3789821.7-48151.3</f>
        <v>3741670.4000000004</v>
      </c>
      <c r="H6" s="50">
        <f>1556810-48151.3</f>
        <v>1508658.7</v>
      </c>
      <c r="I6" s="50">
        <v>2976694.0399999996</v>
      </c>
      <c r="J6" s="48">
        <v>841336.46999999997</v>
      </c>
      <c r="K6" s="48">
        <f t="shared" ref="K6:K9" si="4">I6-E6</f>
        <v>608119.65999999968</v>
      </c>
      <c r="L6" s="51">
        <f t="shared" ref="L6:L9" si="5">I6-G6</f>
        <v>-764976.3600000008</v>
      </c>
      <c r="M6" s="50">
        <f t="shared" ref="M6:M9" si="6">I6-F6</f>
        <v>-18850905.960000001</v>
      </c>
      <c r="N6" s="52">
        <f t="shared" ref="N6:N9" si="7">J6-H6</f>
        <v>-667322.22999999998</v>
      </c>
      <c r="O6" s="53">
        <f t="shared" si="0"/>
        <v>1.2567450130065156</v>
      </c>
      <c r="P6" s="54">
        <f t="shared" si="1"/>
        <v>0.55767183790475605</v>
      </c>
      <c r="Q6" s="53">
        <f t="shared" si="2"/>
        <v>0.79555217904815967</v>
      </c>
      <c r="R6" s="55">
        <f t="shared" si="3"/>
        <v>0.13637294251314847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6"/>
      <c r="B7" s="57" t="s">
        <v>26</v>
      </c>
      <c r="C7" s="58" t="s">
        <v>27</v>
      </c>
      <c r="D7" s="59" t="s">
        <v>28</v>
      </c>
      <c r="E7" s="60">
        <v>14079.34</v>
      </c>
      <c r="F7" s="61">
        <v>58676</v>
      </c>
      <c r="G7" s="62">
        <v>14342.5</v>
      </c>
      <c r="H7" s="60">
        <v>8525</v>
      </c>
      <c r="I7" s="63">
        <v>10419.190000000001</v>
      </c>
      <c r="J7" s="60">
        <v>5042.9700000000003</v>
      </c>
      <c r="K7" s="63">
        <f t="shared" si="4"/>
        <v>-3660.1499999999996</v>
      </c>
      <c r="L7" s="60">
        <f t="shared" si="5"/>
        <v>-3923.3099999999995</v>
      </c>
      <c r="M7" s="64">
        <f t="shared" si="6"/>
        <v>-48256.809999999998</v>
      </c>
      <c r="N7" s="60">
        <f t="shared" si="7"/>
        <v>-3482.0299999999997</v>
      </c>
      <c r="O7" s="65">
        <f t="shared" si="0"/>
        <v>0.74003397886548661</v>
      </c>
      <c r="P7" s="66">
        <f t="shared" si="1"/>
        <v>0.59155073313782991</v>
      </c>
      <c r="Q7" s="67">
        <f t="shared" si="2"/>
        <v>0.72645563883562836</v>
      </c>
      <c r="R7" s="68">
        <f t="shared" si="3"/>
        <v>0.17757157952143979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6"/>
      <c r="B8" s="57" t="s">
        <v>23</v>
      </c>
      <c r="C8" s="69" t="s">
        <v>29</v>
      </c>
      <c r="D8" s="59" t="s">
        <v>30</v>
      </c>
      <c r="E8" s="60">
        <v>0</v>
      </c>
      <c r="F8" s="61">
        <v>38381</v>
      </c>
      <c r="G8" s="60">
        <v>7900</v>
      </c>
      <c r="H8" s="60">
        <v>200</v>
      </c>
      <c r="I8" s="60">
        <v>10831.83</v>
      </c>
      <c r="J8" s="60">
        <v>120.44</v>
      </c>
      <c r="K8" s="60">
        <f t="shared" si="4"/>
        <v>10831.83</v>
      </c>
      <c r="L8" s="60">
        <f t="shared" si="5"/>
        <v>2931.8299999999999</v>
      </c>
      <c r="M8" s="60">
        <f t="shared" si="6"/>
        <v>-27549.169999999998</v>
      </c>
      <c r="N8" s="63">
        <f t="shared" si="7"/>
        <v>-79.560000000000002</v>
      </c>
      <c r="O8" s="66" t="str">
        <f t="shared" si="0"/>
        <v/>
      </c>
      <c r="P8" s="65">
        <f t="shared" si="1"/>
        <v>0.60219999999999996</v>
      </c>
      <c r="Q8" s="66">
        <f t="shared" si="2"/>
        <v>1.3711177215189874</v>
      </c>
      <c r="R8" s="68">
        <f t="shared" si="3"/>
        <v>0.28221854563455878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6"/>
      <c r="B9" s="57" t="s">
        <v>23</v>
      </c>
      <c r="C9" s="58" t="s">
        <v>31</v>
      </c>
      <c r="D9" s="59" t="s">
        <v>32</v>
      </c>
      <c r="E9" s="60">
        <v>8976.2600000000002</v>
      </c>
      <c r="F9" s="61">
        <v>1319195.1000000001</v>
      </c>
      <c r="G9" s="60">
        <v>175600</v>
      </c>
      <c r="H9" s="60">
        <v>168900</v>
      </c>
      <c r="I9" s="60">
        <v>9781.2399999999998</v>
      </c>
      <c r="J9" s="60">
        <v>2188.7399999999998</v>
      </c>
      <c r="K9" s="60">
        <f t="shared" si="4"/>
        <v>804.97999999999956</v>
      </c>
      <c r="L9" s="60">
        <f t="shared" si="5"/>
        <v>-165818.76000000001</v>
      </c>
      <c r="M9" s="64">
        <f t="shared" si="6"/>
        <v>-1309413.8600000001</v>
      </c>
      <c r="N9" s="60">
        <f t="shared" si="7"/>
        <v>-166711.26000000001</v>
      </c>
      <c r="O9" s="65">
        <f t="shared" si="0"/>
        <v>1.0896787749017964</v>
      </c>
      <c r="P9" s="66">
        <f t="shared" si="1"/>
        <v>0.012958792184724687</v>
      </c>
      <c r="Q9" s="67">
        <f t="shared" si="2"/>
        <v>0.055701822323462415</v>
      </c>
      <c r="R9" s="68">
        <f t="shared" si="3"/>
        <v>0.0074145514943164958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6"/>
      <c r="B10" s="57" t="s">
        <v>23</v>
      </c>
      <c r="C10" s="69" t="s">
        <v>33</v>
      </c>
      <c r="D10" s="59" t="s">
        <v>34</v>
      </c>
      <c r="E10" s="60">
        <v>77.760000000000005</v>
      </c>
      <c r="F10" s="61">
        <v>0</v>
      </c>
      <c r="G10" s="60">
        <v>0</v>
      </c>
      <c r="H10" s="60">
        <v>0</v>
      </c>
      <c r="I10" s="60">
        <v>75.200000000000003</v>
      </c>
      <c r="J10" s="60">
        <v>42.469999999999999</v>
      </c>
      <c r="K10" s="60">
        <f t="shared" ref="K10:K47" si="8">I10-E10</f>
        <v>-2.5600000000000023</v>
      </c>
      <c r="L10" s="60">
        <f t="shared" ref="L10:L73" si="9">I10-G10</f>
        <v>75.200000000000003</v>
      </c>
      <c r="M10" s="60">
        <f t="shared" ref="M10:M47" si="10">I10-F10</f>
        <v>75.200000000000003</v>
      </c>
      <c r="N10" s="63">
        <f t="shared" ref="N10:N47" si="11">J10-H10</f>
        <v>42.469999999999999</v>
      </c>
      <c r="O10" s="66">
        <f t="shared" ref="O10:O73" si="12">IFERROR(I10/E10,"")</f>
        <v>0.96707818930041145</v>
      </c>
      <c r="P10" s="65" t="str">
        <f t="shared" ref="P10:P73" si="13">IFERROR(J10/H10,"")</f>
        <v/>
      </c>
      <c r="Q10" s="66" t="str">
        <f t="shared" ref="Q10:Q73" si="14">IFERROR(I10/G10,"")</f>
        <v/>
      </c>
      <c r="R10" s="6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6"/>
      <c r="B11" s="57" t="s">
        <v>23</v>
      </c>
      <c r="C11" s="58" t="s">
        <v>35</v>
      </c>
      <c r="D11" s="59" t="s">
        <v>36</v>
      </c>
      <c r="E11" s="60">
        <v>13.029999999999999</v>
      </c>
      <c r="F11" s="61">
        <v>1515.3</v>
      </c>
      <c r="G11" s="60">
        <v>660</v>
      </c>
      <c r="H11" s="60">
        <v>660</v>
      </c>
      <c r="I11" s="60">
        <v>-254.34999999999999</v>
      </c>
      <c r="J11" s="60">
        <v>-254.34999999999999</v>
      </c>
      <c r="K11" s="60">
        <f t="shared" si="8"/>
        <v>-267.38</v>
      </c>
      <c r="L11" s="60">
        <f t="shared" si="9"/>
        <v>-914.35000000000002</v>
      </c>
      <c r="M11" s="64">
        <f t="shared" si="10"/>
        <v>-1769.6499999999999</v>
      </c>
      <c r="N11" s="60">
        <f t="shared" si="11"/>
        <v>-914.35000000000002</v>
      </c>
      <c r="O11" s="65">
        <f t="shared" si="12"/>
        <v>-19.520337682271681</v>
      </c>
      <c r="P11" s="66">
        <f t="shared" si="13"/>
        <v>-0.38537878787878788</v>
      </c>
      <c r="Q11" s="67">
        <f t="shared" si="14"/>
        <v>-0.38537878787878788</v>
      </c>
      <c r="R11" s="68">
        <f t="shared" si="15"/>
        <v>-0.16785455025407511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6"/>
      <c r="B12" s="57" t="s">
        <v>23</v>
      </c>
      <c r="C12" s="69" t="s">
        <v>37</v>
      </c>
      <c r="D12" s="59" t="s">
        <v>38</v>
      </c>
      <c r="E12" s="60">
        <v>171152.14999999999</v>
      </c>
      <c r="F12" s="61">
        <v>446509.79999999999</v>
      </c>
      <c r="G12" s="60">
        <v>7815.6000000000004</v>
      </c>
      <c r="H12" s="60">
        <v>1000</v>
      </c>
      <c r="I12" s="60">
        <v>5468.7200000000003</v>
      </c>
      <c r="J12" s="60">
        <v>2136.9499999999998</v>
      </c>
      <c r="K12" s="60">
        <f t="shared" si="8"/>
        <v>-165683.42999999999</v>
      </c>
      <c r="L12" s="60">
        <f t="shared" si="9"/>
        <v>-2346.8800000000001</v>
      </c>
      <c r="M12" s="60">
        <f t="shared" si="10"/>
        <v>-441041.08000000002</v>
      </c>
      <c r="N12" s="63">
        <f t="shared" si="11"/>
        <v>1136.9499999999998</v>
      </c>
      <c r="O12" s="66">
        <f t="shared" si="12"/>
        <v>0.031952388561873164</v>
      </c>
      <c r="P12" s="65">
        <f t="shared" si="13"/>
        <v>2.1369499999999997</v>
      </c>
      <c r="Q12" s="66">
        <f t="shared" si="14"/>
        <v>0.69971851169455956</v>
      </c>
      <c r="R12" s="68">
        <f t="shared" si="15"/>
        <v>0.012247704305706169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6"/>
      <c r="B13" s="57" t="s">
        <v>39</v>
      </c>
      <c r="C13" s="58" t="s">
        <v>40</v>
      </c>
      <c r="D13" s="59" t="s">
        <v>41</v>
      </c>
      <c r="E13" s="60">
        <v>52673.730000000003</v>
      </c>
      <c r="F13" s="61">
        <v>1866643.8</v>
      </c>
      <c r="G13" s="60">
        <v>62000</v>
      </c>
      <c r="H13" s="60">
        <v>11000</v>
      </c>
      <c r="I13" s="60">
        <v>57810.559999999998</v>
      </c>
      <c r="J13" s="60">
        <v>11565.77</v>
      </c>
      <c r="K13" s="60">
        <f t="shared" si="8"/>
        <v>5136.8299999999945</v>
      </c>
      <c r="L13" s="60">
        <f t="shared" si="9"/>
        <v>-4189.4400000000023</v>
      </c>
      <c r="M13" s="64">
        <f t="shared" si="10"/>
        <v>-1808833.24</v>
      </c>
      <c r="N13" s="60">
        <f t="shared" si="11"/>
        <v>565.77000000000044</v>
      </c>
      <c r="O13" s="65">
        <f t="shared" si="12"/>
        <v>1.0975216678218913</v>
      </c>
      <c r="P13" s="66">
        <f t="shared" si="13"/>
        <v>1.0514336363636363</v>
      </c>
      <c r="Q13" s="67">
        <f t="shared" si="14"/>
        <v>0.93242838709677411</v>
      </c>
      <c r="R13" s="68">
        <f t="shared" si="15"/>
        <v>0.03097032224359034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6"/>
      <c r="B14" s="57" t="s">
        <v>39</v>
      </c>
      <c r="C14" s="69" t="s">
        <v>42</v>
      </c>
      <c r="D14" s="59" t="s">
        <v>43</v>
      </c>
      <c r="E14" s="60">
        <v>564890.09999999998</v>
      </c>
      <c r="F14" s="61">
        <v>2628818</v>
      </c>
      <c r="G14" s="60">
        <v>577500</v>
      </c>
      <c r="H14" s="60">
        <v>375000</v>
      </c>
      <c r="I14" s="60">
        <v>541040.79000000004</v>
      </c>
      <c r="J14" s="60">
        <v>538137.65000000002</v>
      </c>
      <c r="K14" s="60">
        <f t="shared" si="8"/>
        <v>-23849.309999999939</v>
      </c>
      <c r="L14" s="60">
        <f t="shared" si="9"/>
        <v>-36459.209999999963</v>
      </c>
      <c r="M14" s="60">
        <f t="shared" si="10"/>
        <v>-2087777.21</v>
      </c>
      <c r="N14" s="70">
        <f t="shared" si="11"/>
        <v>163137.65000000002</v>
      </c>
      <c r="O14" s="66">
        <f t="shared" si="12"/>
        <v>0.9577806196284907</v>
      </c>
      <c r="P14" s="65">
        <f t="shared" si="13"/>
        <v>1.4350337333333334</v>
      </c>
      <c r="Q14" s="66">
        <f t="shared" si="14"/>
        <v>0.93686716883116894</v>
      </c>
      <c r="R14" s="68">
        <f t="shared" si="15"/>
        <v>0.20581142931918453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6"/>
      <c r="B15" s="57"/>
      <c r="C15" s="58" t="s">
        <v>44</v>
      </c>
      <c r="D15" s="59" t="s">
        <v>45</v>
      </c>
      <c r="E15" s="60">
        <v>135577.04000000001</v>
      </c>
      <c r="F15" s="61">
        <v>686215</v>
      </c>
      <c r="G15" s="60">
        <v>152760.5</v>
      </c>
      <c r="H15" s="60">
        <v>64734.5</v>
      </c>
      <c r="I15" s="60">
        <v>138561.22</v>
      </c>
      <c r="J15" s="60">
        <v>39948.599999999999</v>
      </c>
      <c r="K15" s="60">
        <f t="shared" si="8"/>
        <v>2984.179999999993</v>
      </c>
      <c r="L15" s="60">
        <f t="shared" si="9"/>
        <v>-14199.279999999999</v>
      </c>
      <c r="M15" s="60">
        <f t="shared" si="10"/>
        <v>-547653.78000000003</v>
      </c>
      <c r="N15" s="71">
        <f t="shared" si="11"/>
        <v>-24785.900000000001</v>
      </c>
      <c r="O15" s="66">
        <f t="shared" si="12"/>
        <v>1.0220109540671487</v>
      </c>
      <c r="P15" s="66">
        <f t="shared" si="13"/>
        <v>0.61711452162293678</v>
      </c>
      <c r="Q15" s="66">
        <f t="shared" si="14"/>
        <v>0.90704874624002929</v>
      </c>
      <c r="R15" s="68">
        <f t="shared" si="15"/>
        <v>0.2019210014354102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72"/>
      <c r="B16" s="73" t="s">
        <v>39</v>
      </c>
      <c r="C16" s="69" t="s">
        <v>46</v>
      </c>
      <c r="D16" s="74" t="s">
        <v>47</v>
      </c>
      <c r="E16" s="75">
        <v>0</v>
      </c>
      <c r="F16" s="75">
        <v>0</v>
      </c>
      <c r="G16" s="63">
        <v>0</v>
      </c>
      <c r="H16" s="76">
        <v>0</v>
      </c>
      <c r="I16" s="76">
        <v>0</v>
      </c>
      <c r="J16" s="75">
        <v>0</v>
      </c>
      <c r="K16" s="75">
        <f t="shared" si="8"/>
        <v>0</v>
      </c>
      <c r="L16" s="63">
        <f t="shared" si="9"/>
        <v>0</v>
      </c>
      <c r="M16" s="75">
        <f t="shared" si="10"/>
        <v>0</v>
      </c>
      <c r="N16" s="63">
        <f t="shared" si="11"/>
        <v>0</v>
      </c>
      <c r="O16" s="77" t="str">
        <f t="shared" si="12"/>
        <v/>
      </c>
      <c r="P16" s="65" t="str">
        <f t="shared" si="13"/>
        <v/>
      </c>
      <c r="Q16" s="77" t="str">
        <f t="shared" si="14"/>
        <v/>
      </c>
      <c r="R16" s="78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2" customFormat="1" ht="24" customHeight="1">
      <c r="A17" s="79" t="s">
        <v>48</v>
      </c>
      <c r="B17" s="80"/>
      <c r="C17" s="81"/>
      <c r="D17" s="82"/>
      <c r="E17" s="38">
        <f>E21+E25+E34+E48+E56+E59+E62+E71</f>
        <v>1408418.3700000001</v>
      </c>
      <c r="F17" s="38">
        <f>F21+F25+F34+F48+F56+F59+F62+F71</f>
        <v>8032481.5099999998</v>
      </c>
      <c r="G17" s="83">
        <f>G21+G25+G34+G48+G56+G59+G62+G71</f>
        <v>1874869.0100000002</v>
      </c>
      <c r="H17" s="38">
        <f>H21+H25+H34+H48+H56+H59+H62+H71</f>
        <v>664083.70999999996</v>
      </c>
      <c r="I17" s="38">
        <f>I21+I25+I34+I48+I56+I59+I62+I71</f>
        <v>1666235.24</v>
      </c>
      <c r="J17" s="84">
        <f>J21+J25+J34+J48+J56+J59+J62+J71</f>
        <v>386640.94000000006</v>
      </c>
      <c r="K17" s="38">
        <f t="shared" si="8"/>
        <v>257816.86999999988</v>
      </c>
      <c r="L17" s="83">
        <f t="shared" si="9"/>
        <v>-208633.77000000025</v>
      </c>
      <c r="M17" s="84">
        <f t="shared" si="10"/>
        <v>-6366246.2699999996</v>
      </c>
      <c r="N17" s="83">
        <f t="shared" si="11"/>
        <v>-277442.7699999999</v>
      </c>
      <c r="O17" s="40">
        <f t="shared" si="12"/>
        <v>1.1830541801297294</v>
      </c>
      <c r="P17" s="41">
        <f t="shared" si="13"/>
        <v>0.58221717259108807</v>
      </c>
      <c r="Q17" s="42">
        <f t="shared" si="14"/>
        <v>0.8887208818924367</v>
      </c>
      <c r="R17" s="43">
        <f t="shared" si="15"/>
        <v>0.20743717093224906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ht="17.25">
      <c r="A18" s="85" t="s">
        <v>49</v>
      </c>
      <c r="B18" s="86" t="s">
        <v>26</v>
      </c>
      <c r="C18" s="87" t="s">
        <v>50</v>
      </c>
      <c r="D18" s="88" t="s">
        <v>51</v>
      </c>
      <c r="E18" s="89">
        <v>57837.699999999997</v>
      </c>
      <c r="F18" s="48">
        <f>295538.8+75672.2</f>
        <v>371211</v>
      </c>
      <c r="G18" s="51">
        <f>66000+16000</f>
        <v>82000</v>
      </c>
      <c r="H18" s="48">
        <f>23000+6000</f>
        <v>29000</v>
      </c>
      <c r="I18" s="90">
        <v>73727.290000000008</v>
      </c>
      <c r="J18" s="48">
        <v>20634.34</v>
      </c>
      <c r="K18" s="51">
        <f t="shared" si="8"/>
        <v>15889.590000000011</v>
      </c>
      <c r="L18" s="48">
        <f t="shared" si="9"/>
        <v>-8272.7099999999919</v>
      </c>
      <c r="M18" s="48">
        <f t="shared" si="10"/>
        <v>-297483.70999999996</v>
      </c>
      <c r="N18" s="52">
        <f t="shared" si="11"/>
        <v>-8365.6599999999999</v>
      </c>
      <c r="O18" s="53">
        <f t="shared" si="12"/>
        <v>1.2747272107984933</v>
      </c>
      <c r="P18" s="54">
        <f t="shared" si="13"/>
        <v>0.71152896551724143</v>
      </c>
      <c r="Q18" s="53">
        <f t="shared" si="14"/>
        <v>0.89911329268292695</v>
      </c>
      <c r="R18" s="55">
        <f t="shared" si="15"/>
        <v>0.19861289132056972</v>
      </c>
      <c r="S18" s="1"/>
      <c r="T18" s="1"/>
      <c r="U18" s="1"/>
      <c r="V18" s="1"/>
      <c r="W18" s="1"/>
      <c r="X18" s="1"/>
      <c r="Y18" s="1"/>
      <c r="Z18" s="1"/>
    </row>
    <row r="19" ht="17.25" hidden="1">
      <c r="A19" s="91"/>
      <c r="B19" s="92"/>
      <c r="C19" s="58" t="s">
        <v>52</v>
      </c>
      <c r="D19" s="93" t="s">
        <v>53</v>
      </c>
      <c r="E19" s="94">
        <v>0</v>
      </c>
      <c r="F19" s="94">
        <v>0</v>
      </c>
      <c r="G19" s="94">
        <v>0</v>
      </c>
      <c r="H19" s="95">
        <v>0</v>
      </c>
      <c r="I19" s="94">
        <v>0</v>
      </c>
      <c r="J19" s="94">
        <v>0</v>
      </c>
      <c r="K19" s="94">
        <f t="shared" si="8"/>
        <v>0</v>
      </c>
      <c r="L19" s="95">
        <f t="shared" si="9"/>
        <v>0</v>
      </c>
      <c r="M19" s="94">
        <f t="shared" si="10"/>
        <v>0</v>
      </c>
      <c r="N19" s="96">
        <f t="shared" si="11"/>
        <v>0</v>
      </c>
      <c r="O19" s="65" t="str">
        <f t="shared" si="12"/>
        <v/>
      </c>
      <c r="P19" s="66" t="str">
        <f t="shared" si="13"/>
        <v/>
      </c>
      <c r="Q19" s="67" t="str">
        <f t="shared" si="14"/>
        <v/>
      </c>
      <c r="R19" s="68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1"/>
      <c r="B20" s="92"/>
      <c r="C20" s="69" t="s">
        <v>54</v>
      </c>
      <c r="D20" s="97" t="s">
        <v>55</v>
      </c>
      <c r="E20" s="94">
        <v>47334.110000000001</v>
      </c>
      <c r="F20" s="94">
        <f>253415.2+30037.5</f>
        <v>283452.70000000001</v>
      </c>
      <c r="G20" s="94">
        <v>57415.199999999997</v>
      </c>
      <c r="H20" s="98">
        <v>20000</v>
      </c>
      <c r="I20" s="94">
        <v>70288.119999999995</v>
      </c>
      <c r="J20" s="94">
        <v>21205</v>
      </c>
      <c r="K20" s="94">
        <f t="shared" si="8"/>
        <v>22954.009999999995</v>
      </c>
      <c r="L20" s="94">
        <f t="shared" si="9"/>
        <v>12872.919999999998</v>
      </c>
      <c r="M20" s="94">
        <f t="shared" si="10"/>
        <v>-213164.58000000002</v>
      </c>
      <c r="N20" s="94">
        <f t="shared" si="11"/>
        <v>1205</v>
      </c>
      <c r="O20" s="66">
        <f t="shared" si="12"/>
        <v>1.484935916192361</v>
      </c>
      <c r="P20" s="65">
        <f t="shared" si="13"/>
        <v>1.0602499999999999</v>
      </c>
      <c r="Q20" s="66">
        <f t="shared" si="14"/>
        <v>1.2242075269266675</v>
      </c>
      <c r="R20" s="68">
        <f t="shared" si="15"/>
        <v>0.24797124881858593</v>
      </c>
      <c r="S20" s="1"/>
      <c r="T20" s="1"/>
      <c r="U20" s="1"/>
      <c r="V20" s="1"/>
      <c r="W20" s="1"/>
      <c r="X20" s="1"/>
      <c r="Y20" s="1"/>
      <c r="Z20" s="1"/>
    </row>
    <row r="21" s="99" customFormat="1" ht="17.25">
      <c r="A21" s="100"/>
      <c r="B21" s="101"/>
      <c r="C21" s="102"/>
      <c r="D21" s="103" t="s">
        <v>56</v>
      </c>
      <c r="E21" s="104">
        <f>SUM(E18:E20)</f>
        <v>105171.81</v>
      </c>
      <c r="F21" s="104">
        <f>SUM(F18:F20)</f>
        <v>654663.69999999995</v>
      </c>
      <c r="G21" s="104">
        <f>SUM(G18:G20)</f>
        <v>139415.20000000001</v>
      </c>
      <c r="H21" s="105">
        <f>SUM(H18:H20)</f>
        <v>49000</v>
      </c>
      <c r="I21" s="104">
        <f>SUM(I18:I20)</f>
        <v>144015.41</v>
      </c>
      <c r="J21" s="105">
        <f>SUM(J18:J20)</f>
        <v>41839.339999999997</v>
      </c>
      <c r="K21" s="104">
        <f t="shared" si="8"/>
        <v>38843.600000000006</v>
      </c>
      <c r="L21" s="104">
        <f t="shared" si="9"/>
        <v>4600.2099999999919</v>
      </c>
      <c r="M21" s="104">
        <f t="shared" si="10"/>
        <v>-510648.28999999992</v>
      </c>
      <c r="N21" s="104">
        <f t="shared" si="11"/>
        <v>-7160.6600000000035</v>
      </c>
      <c r="O21" s="106">
        <f t="shared" si="12"/>
        <v>1.3693347105084528</v>
      </c>
      <c r="P21" s="106">
        <f t="shared" si="13"/>
        <v>0.85386408163265304</v>
      </c>
      <c r="Q21" s="106">
        <f t="shared" si="14"/>
        <v>1.0329964738421635</v>
      </c>
      <c r="R21" s="107">
        <f t="shared" si="15"/>
        <v>0.2199838023705912</v>
      </c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</row>
    <row r="22" ht="17.25">
      <c r="A22" s="108">
        <v>951</v>
      </c>
      <c r="B22" s="86" t="s">
        <v>23</v>
      </c>
      <c r="C22" s="109" t="s">
        <v>57</v>
      </c>
      <c r="D22" s="110" t="s">
        <v>58</v>
      </c>
      <c r="E22" s="89">
        <v>20607.57</v>
      </c>
      <c r="F22" s="89">
        <v>119058.5</v>
      </c>
      <c r="G22" s="51">
        <v>22815.5</v>
      </c>
      <c r="H22" s="48">
        <v>9357.6000000000004</v>
      </c>
      <c r="I22" s="90">
        <v>25714.039999999997</v>
      </c>
      <c r="J22" s="48">
        <v>8325.9800000000014</v>
      </c>
      <c r="K22" s="48">
        <f t="shared" si="8"/>
        <v>5106.4699999999975</v>
      </c>
      <c r="L22" s="48">
        <f t="shared" si="9"/>
        <v>2898.5399999999972</v>
      </c>
      <c r="M22" s="51">
        <f t="shared" si="10"/>
        <v>-93344.460000000006</v>
      </c>
      <c r="N22" s="48">
        <f t="shared" si="11"/>
        <v>-1031.619999999999</v>
      </c>
      <c r="O22" s="54">
        <f t="shared" si="12"/>
        <v>1.2477958342492588</v>
      </c>
      <c r="P22" s="53">
        <f t="shared" si="13"/>
        <v>0.88975592032145001</v>
      </c>
      <c r="Q22" s="111">
        <f t="shared" si="14"/>
        <v>1.1270425807017159</v>
      </c>
      <c r="R22" s="55">
        <f t="shared" si="15"/>
        <v>0.21597819559292278</v>
      </c>
      <c r="S22" s="1"/>
      <c r="T22" s="1"/>
      <c r="U22" s="1"/>
      <c r="V22" s="1"/>
      <c r="W22" s="1"/>
      <c r="X22" s="1"/>
      <c r="Y22" s="1"/>
      <c r="Z22" s="1"/>
    </row>
    <row r="23" ht="17.25">
      <c r="A23" s="112"/>
      <c r="B23" s="92"/>
      <c r="C23" s="113" t="s">
        <v>59</v>
      </c>
      <c r="D23" s="93" t="s">
        <v>60</v>
      </c>
      <c r="E23" s="94">
        <v>1730.8299999999999</v>
      </c>
      <c r="F23" s="114">
        <v>10589.6</v>
      </c>
      <c r="G23" s="94">
        <v>1805.4000000000001</v>
      </c>
      <c r="H23" s="94">
        <v>1580</v>
      </c>
      <c r="I23" s="94">
        <v>2272.9900000000002</v>
      </c>
      <c r="J23" s="94">
        <v>1778.1800000000001</v>
      </c>
      <c r="K23" s="94">
        <f t="shared" si="8"/>
        <v>542.16000000000031</v>
      </c>
      <c r="L23" s="94">
        <f t="shared" si="9"/>
        <v>467.59000000000015</v>
      </c>
      <c r="M23" s="94">
        <f t="shared" si="10"/>
        <v>-8316.6100000000006</v>
      </c>
      <c r="N23" s="94">
        <f t="shared" si="11"/>
        <v>198.18000000000006</v>
      </c>
      <c r="O23" s="66">
        <f t="shared" si="12"/>
        <v>1.3132370019008224</v>
      </c>
      <c r="P23" s="66">
        <f t="shared" si="13"/>
        <v>1.1254303797468355</v>
      </c>
      <c r="Q23" s="66">
        <f t="shared" si="14"/>
        <v>1.2589952365126842</v>
      </c>
      <c r="R23" s="68">
        <f t="shared" si="15"/>
        <v>0.21464361260104256</v>
      </c>
      <c r="S23" s="1"/>
      <c r="T23" s="1"/>
      <c r="U23" s="1"/>
      <c r="V23" s="1"/>
      <c r="W23" s="1"/>
      <c r="X23" s="1"/>
      <c r="Y23" s="1"/>
      <c r="Z23" s="1"/>
    </row>
    <row r="24" ht="17.25">
      <c r="A24" s="115"/>
      <c r="B24" s="116"/>
      <c r="C24" s="117" t="s">
        <v>61</v>
      </c>
      <c r="D24" s="118" t="s">
        <v>62</v>
      </c>
      <c r="E24" s="94">
        <v>451.31999999999999</v>
      </c>
      <c r="F24" s="114">
        <v>2512.1999999999998</v>
      </c>
      <c r="G24" s="114">
        <v>610</v>
      </c>
      <c r="H24" s="114">
        <v>230</v>
      </c>
      <c r="I24" s="94">
        <v>463.91999999999996</v>
      </c>
      <c r="J24" s="94">
        <v>177.23000000000002</v>
      </c>
      <c r="K24" s="94">
        <f t="shared" si="8"/>
        <v>12.599999999999966</v>
      </c>
      <c r="L24" s="94">
        <f t="shared" si="9"/>
        <v>-146.08000000000004</v>
      </c>
      <c r="M24" s="94">
        <f t="shared" si="10"/>
        <v>-2048.2799999999997</v>
      </c>
      <c r="N24" s="95">
        <f t="shared" si="11"/>
        <v>-52.769999999999982</v>
      </c>
      <c r="O24" s="66">
        <f t="shared" si="12"/>
        <v>1.0279181068864662</v>
      </c>
      <c r="P24" s="65">
        <f t="shared" si="13"/>
        <v>0.77056521739130446</v>
      </c>
      <c r="Q24" s="66">
        <f t="shared" si="14"/>
        <v>0.76052459016393437</v>
      </c>
      <c r="R24" s="68">
        <f t="shared" si="15"/>
        <v>0.18466682588965846</v>
      </c>
      <c r="S24" s="1"/>
      <c r="T24" s="1"/>
      <c r="U24" s="1"/>
      <c r="V24" s="1"/>
      <c r="W24" s="1"/>
      <c r="X24" s="1"/>
      <c r="Y24" s="1"/>
      <c r="Z24" s="1"/>
    </row>
    <row r="25" s="99" customFormat="1" ht="17.25">
      <c r="A25" s="119"/>
      <c r="B25" s="101"/>
      <c r="C25" s="120"/>
      <c r="D25" s="121" t="s">
        <v>56</v>
      </c>
      <c r="E25" s="104">
        <f>E22+E23+E24</f>
        <v>22789.720000000001</v>
      </c>
      <c r="F25" s="104">
        <f>F22+F23+F24</f>
        <v>132160.30000000002</v>
      </c>
      <c r="G25" s="104">
        <f>G22+G23+G24</f>
        <v>25230.900000000001</v>
      </c>
      <c r="H25" s="105">
        <f>H22+H23+H24</f>
        <v>11167.6</v>
      </c>
      <c r="I25" s="104">
        <f>I22+I23+I24</f>
        <v>28450.949999999997</v>
      </c>
      <c r="J25" s="105">
        <f>J22+J23+J24</f>
        <v>10281.390000000001</v>
      </c>
      <c r="K25" s="104">
        <f t="shared" si="8"/>
        <v>5661.2299999999959</v>
      </c>
      <c r="L25" s="104">
        <f t="shared" si="9"/>
        <v>3220.0499999999956</v>
      </c>
      <c r="M25" s="105">
        <f t="shared" si="10"/>
        <v>-103709.35000000002</v>
      </c>
      <c r="N25" s="104">
        <f t="shared" si="11"/>
        <v>-886.20999999999913</v>
      </c>
      <c r="O25" s="122">
        <f t="shared" si="12"/>
        <v>1.2484115645124203</v>
      </c>
      <c r="P25" s="106">
        <f t="shared" si="13"/>
        <v>0.92064454314266275</v>
      </c>
      <c r="Q25" s="123">
        <f t="shared" si="14"/>
        <v>1.1276232714647514</v>
      </c>
      <c r="R25" s="107">
        <f t="shared" si="15"/>
        <v>0.21527607004524046</v>
      </c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</row>
    <row r="26" ht="17.25">
      <c r="A26" s="85" t="s">
        <v>63</v>
      </c>
      <c r="B26" s="86" t="s">
        <v>64</v>
      </c>
      <c r="C26" s="124" t="s">
        <v>65</v>
      </c>
      <c r="D26" s="125" t="s">
        <v>66</v>
      </c>
      <c r="E26" s="48">
        <v>0</v>
      </c>
      <c r="F26" s="48">
        <v>66</v>
      </c>
      <c r="G26" s="48">
        <v>0</v>
      </c>
      <c r="H26" s="48">
        <v>0</v>
      </c>
      <c r="I26" s="48">
        <v>0</v>
      </c>
      <c r="J26" s="48">
        <v>0</v>
      </c>
      <c r="K26" s="48">
        <f t="shared" si="8"/>
        <v>0</v>
      </c>
      <c r="L26" s="51">
        <f t="shared" si="9"/>
        <v>0</v>
      </c>
      <c r="M26" s="48">
        <f t="shared" si="10"/>
        <v>-66</v>
      </c>
      <c r="N26" s="51">
        <f t="shared" si="11"/>
        <v>0</v>
      </c>
      <c r="O26" s="53" t="str">
        <f t="shared" si="12"/>
        <v/>
      </c>
      <c r="P26" s="54" t="str">
        <f t="shared" si="13"/>
        <v/>
      </c>
      <c r="Q26" s="53" t="str">
        <f t="shared" si="14"/>
        <v/>
      </c>
      <c r="R26" s="55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5"/>
      <c r="B27" s="92"/>
      <c r="C27" s="69" t="s">
        <v>67</v>
      </c>
      <c r="D27" s="126" t="s">
        <v>68</v>
      </c>
      <c r="E27" s="94">
        <v>15469.139999999999</v>
      </c>
      <c r="F27" s="114">
        <v>85184</v>
      </c>
      <c r="G27" s="95">
        <v>18100</v>
      </c>
      <c r="H27" s="94">
        <v>6300</v>
      </c>
      <c r="I27" s="127">
        <v>13517.219999999999</v>
      </c>
      <c r="J27" s="94">
        <v>2825.4000000000001</v>
      </c>
      <c r="K27" s="94">
        <f t="shared" si="8"/>
        <v>-1951.9200000000001</v>
      </c>
      <c r="L27" s="94">
        <f t="shared" si="9"/>
        <v>-4582.7800000000007</v>
      </c>
      <c r="M27" s="95">
        <f t="shared" si="10"/>
        <v>-71666.779999999999</v>
      </c>
      <c r="N27" s="94">
        <f t="shared" si="11"/>
        <v>-3474.5999999999999</v>
      </c>
      <c r="O27" s="65">
        <f t="shared" si="12"/>
        <v>0.87381845403170444</v>
      </c>
      <c r="P27" s="66">
        <f t="shared" si="13"/>
        <v>0.44847619047619047</v>
      </c>
      <c r="Q27" s="67">
        <f t="shared" si="14"/>
        <v>0.74680773480662976</v>
      </c>
      <c r="R27" s="68">
        <f t="shared" si="15"/>
        <v>0.15868261645379414</v>
      </c>
      <c r="S27" s="1"/>
      <c r="T27" s="1"/>
      <c r="U27" s="1"/>
      <c r="V27" s="1"/>
      <c r="W27" s="1"/>
      <c r="X27" s="1"/>
      <c r="Y27" s="1"/>
      <c r="Z27" s="1"/>
    </row>
    <row r="28" ht="17.25">
      <c r="A28" s="85"/>
      <c r="B28" s="92"/>
      <c r="C28" s="113" t="s">
        <v>69</v>
      </c>
      <c r="D28" s="128" t="s">
        <v>70</v>
      </c>
      <c r="E28" s="94">
        <v>317.98000000000002</v>
      </c>
      <c r="F28" s="114">
        <v>557</v>
      </c>
      <c r="G28" s="94">
        <v>139.19999999999999</v>
      </c>
      <c r="H28" s="95">
        <v>46.399999999999999</v>
      </c>
      <c r="I28" s="94">
        <v>189.65000000000001</v>
      </c>
      <c r="J28" s="94">
        <v>51.829999999999998</v>
      </c>
      <c r="K28" s="94">
        <f t="shared" si="8"/>
        <v>-128.33000000000001</v>
      </c>
      <c r="L28" s="95">
        <f t="shared" si="9"/>
        <v>50.450000000000017</v>
      </c>
      <c r="M28" s="94">
        <f t="shared" si="10"/>
        <v>-367.35000000000002</v>
      </c>
      <c r="N28" s="95">
        <f t="shared" si="11"/>
        <v>5.4299999999999997</v>
      </c>
      <c r="O28" s="66">
        <f t="shared" si="12"/>
        <v>0.5964211585634317</v>
      </c>
      <c r="P28" s="65">
        <f t="shared" si="13"/>
        <v>1.1170258620689655</v>
      </c>
      <c r="Q28" s="66">
        <f t="shared" si="14"/>
        <v>1.3624281609195403</v>
      </c>
      <c r="R28" s="68">
        <f t="shared" si="15"/>
        <v>0.34048473967684023</v>
      </c>
      <c r="S28" s="1"/>
      <c r="T28" s="1"/>
      <c r="U28" s="1"/>
      <c r="V28" s="1"/>
      <c r="W28" s="1"/>
      <c r="X28" s="1"/>
      <c r="Y28" s="1"/>
      <c r="Z28" s="1"/>
    </row>
    <row r="29" ht="17.25">
      <c r="A29" s="85"/>
      <c r="B29" s="92"/>
      <c r="C29" s="3" t="s">
        <v>71</v>
      </c>
      <c r="D29" s="128" t="s">
        <v>72</v>
      </c>
      <c r="E29" s="94">
        <v>0</v>
      </c>
      <c r="F29" s="94">
        <v>11082.299999999999</v>
      </c>
      <c r="G29" s="94">
        <v>0</v>
      </c>
      <c r="H29" s="98">
        <v>0</v>
      </c>
      <c r="I29" s="94">
        <v>0</v>
      </c>
      <c r="J29" s="94">
        <v>0</v>
      </c>
      <c r="K29" s="94">
        <f t="shared" si="8"/>
        <v>0</v>
      </c>
      <c r="L29" s="94">
        <f t="shared" si="9"/>
        <v>0</v>
      </c>
      <c r="M29" s="95">
        <f t="shared" si="10"/>
        <v>-11082.299999999999</v>
      </c>
      <c r="N29" s="94">
        <f t="shared" si="11"/>
        <v>0</v>
      </c>
      <c r="O29" s="65" t="str">
        <f t="shared" si="12"/>
        <v/>
      </c>
      <c r="P29" s="66" t="str">
        <f t="shared" si="13"/>
        <v/>
      </c>
      <c r="Q29" s="67" t="str">
        <f t="shared" si="14"/>
        <v/>
      </c>
      <c r="R29" s="68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5"/>
      <c r="B30" s="92"/>
      <c r="C30" s="113" t="s">
        <v>73</v>
      </c>
      <c r="D30" s="129" t="s">
        <v>74</v>
      </c>
      <c r="E30" s="94">
        <f>E31+E33+E32</f>
        <v>18156.940000000002</v>
      </c>
      <c r="F30" s="94">
        <f>F31+F33+F32</f>
        <v>50575.799999999996</v>
      </c>
      <c r="G30" s="94">
        <f>G31+G33+G32</f>
        <v>13482.700000000001</v>
      </c>
      <c r="H30" s="94">
        <f>H31+H33+H32</f>
        <v>3105</v>
      </c>
      <c r="I30" s="94">
        <f>I31+I33+I32</f>
        <v>6927.0100000000002</v>
      </c>
      <c r="J30" s="94">
        <f>J31+J33+J32</f>
        <v>2103.1900000000001</v>
      </c>
      <c r="K30" s="94">
        <f t="shared" si="8"/>
        <v>-11229.930000000002</v>
      </c>
      <c r="L30" s="95">
        <f t="shared" si="9"/>
        <v>-6555.6900000000005</v>
      </c>
      <c r="M30" s="94">
        <f t="shared" si="10"/>
        <v>-43648.789999999994</v>
      </c>
      <c r="N30" s="95">
        <f t="shared" si="11"/>
        <v>-1001.8099999999999</v>
      </c>
      <c r="O30" s="66">
        <f t="shared" si="12"/>
        <v>0.38150756680365738</v>
      </c>
      <c r="P30" s="65">
        <f t="shared" si="13"/>
        <v>0.6773558776167472</v>
      </c>
      <c r="Q30" s="66">
        <f t="shared" si="14"/>
        <v>0.51377023889873685</v>
      </c>
      <c r="R30" s="68">
        <f t="shared" si="15"/>
        <v>0.13696293484235544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30" customFormat="1" ht="17.25">
      <c r="A31" s="131"/>
      <c r="B31" s="132"/>
      <c r="C31" s="133" t="s">
        <v>75</v>
      </c>
      <c r="D31" s="134" t="s">
        <v>76</v>
      </c>
      <c r="E31" s="135">
        <v>6700</v>
      </c>
      <c r="F31" s="136">
        <v>21192.900000000001</v>
      </c>
      <c r="G31" s="135">
        <v>6038.1999999999998</v>
      </c>
      <c r="H31" s="137">
        <v>388.19999999999999</v>
      </c>
      <c r="I31" s="135">
        <v>0</v>
      </c>
      <c r="J31" s="135">
        <v>0</v>
      </c>
      <c r="K31" s="135">
        <f t="shared" si="8"/>
        <v>-6700</v>
      </c>
      <c r="L31" s="135">
        <f t="shared" si="9"/>
        <v>-6038.1999999999998</v>
      </c>
      <c r="M31" s="138">
        <f t="shared" si="10"/>
        <v>-21192.900000000001</v>
      </c>
      <c r="N31" s="135">
        <f t="shared" si="11"/>
        <v>-388.19999999999999</v>
      </c>
      <c r="O31" s="139">
        <f t="shared" si="12"/>
        <v>0</v>
      </c>
      <c r="P31" s="140">
        <f t="shared" si="13"/>
        <v>0</v>
      </c>
      <c r="Q31" s="141">
        <f t="shared" si="14"/>
        <v>0</v>
      </c>
      <c r="R31" s="142">
        <f t="shared" si="15"/>
        <v>0</v>
      </c>
      <c r="S31" s="130"/>
      <c r="T31" s="130"/>
      <c r="U31" s="130"/>
      <c r="V31" s="130"/>
      <c r="W31" s="130"/>
      <c r="X31" s="130"/>
      <c r="Y31" s="130"/>
      <c r="Z31" s="130"/>
    </row>
    <row r="32" s="130" customFormat="1" ht="17.25">
      <c r="A32" s="131"/>
      <c r="B32" s="132"/>
      <c r="C32" s="143" t="s">
        <v>77</v>
      </c>
      <c r="D32" s="144" t="s">
        <v>78</v>
      </c>
      <c r="E32" s="135">
        <v>0</v>
      </c>
      <c r="F32" s="136">
        <v>159.09999999999999</v>
      </c>
      <c r="G32" s="135">
        <v>0</v>
      </c>
      <c r="H32" s="135">
        <v>0</v>
      </c>
      <c r="I32" s="135">
        <v>0</v>
      </c>
      <c r="J32" s="135">
        <v>0</v>
      </c>
      <c r="K32" s="135">
        <f t="shared" si="8"/>
        <v>0</v>
      </c>
      <c r="L32" s="138">
        <f t="shared" si="9"/>
        <v>0</v>
      </c>
      <c r="M32" s="135">
        <f t="shared" si="10"/>
        <v>-159.09999999999999</v>
      </c>
      <c r="N32" s="138">
        <f t="shared" si="11"/>
        <v>0</v>
      </c>
      <c r="O32" s="145" t="str">
        <f t="shared" si="12"/>
        <v/>
      </c>
      <c r="P32" s="146" t="str">
        <f t="shared" si="13"/>
        <v/>
      </c>
      <c r="Q32" s="140" t="str">
        <f t="shared" si="14"/>
        <v/>
      </c>
      <c r="R32" s="142">
        <f t="shared" si="15"/>
        <v>0</v>
      </c>
      <c r="S32" s="130"/>
      <c r="T32" s="130"/>
      <c r="U32" s="130"/>
      <c r="V32" s="130"/>
      <c r="W32" s="130"/>
      <c r="X32" s="130"/>
      <c r="Y32" s="130"/>
      <c r="Z32" s="130"/>
    </row>
    <row r="33" s="130" customFormat="1" ht="17.25">
      <c r="A33" s="131"/>
      <c r="B33" s="132"/>
      <c r="C33" s="133" t="s">
        <v>79</v>
      </c>
      <c r="D33" s="144" t="s">
        <v>80</v>
      </c>
      <c r="E33" s="135">
        <v>11456.940000000001</v>
      </c>
      <c r="F33" s="136">
        <v>29223.799999999999</v>
      </c>
      <c r="G33" s="138">
        <v>7444.5</v>
      </c>
      <c r="H33" s="135">
        <v>2716.8000000000002</v>
      </c>
      <c r="I33" s="135">
        <v>6927.0100000000002</v>
      </c>
      <c r="J33" s="135">
        <v>2103.1900000000001</v>
      </c>
      <c r="K33" s="135">
        <f t="shared" si="8"/>
        <v>-4529.9300000000003</v>
      </c>
      <c r="L33" s="135">
        <f t="shared" si="9"/>
        <v>-517.48999999999978</v>
      </c>
      <c r="M33" s="138">
        <f t="shared" si="10"/>
        <v>-22296.790000000001</v>
      </c>
      <c r="N33" s="135">
        <f t="shared" si="11"/>
        <v>-613.61000000000013</v>
      </c>
      <c r="O33" s="139">
        <f t="shared" si="12"/>
        <v>0.60461257543462743</v>
      </c>
      <c r="P33" s="140">
        <f t="shared" si="13"/>
        <v>0.77414237338044756</v>
      </c>
      <c r="Q33" s="141">
        <f t="shared" si="14"/>
        <v>0.93048693666465176</v>
      </c>
      <c r="R33" s="142">
        <f t="shared" si="15"/>
        <v>0.23703317159301665</v>
      </c>
      <c r="S33" s="130"/>
      <c r="T33" s="130"/>
      <c r="U33" s="130"/>
      <c r="V33" s="130"/>
      <c r="W33" s="130"/>
      <c r="X33" s="130"/>
      <c r="Y33" s="130"/>
      <c r="Z33" s="130"/>
    </row>
    <row r="34" s="99" customFormat="1" ht="17.25">
      <c r="A34" s="131"/>
      <c r="B34" s="147"/>
      <c r="C34" s="102"/>
      <c r="D34" s="103" t="s">
        <v>56</v>
      </c>
      <c r="E34" s="104">
        <f>SUM(E26:E30)</f>
        <v>33944.059999999998</v>
      </c>
      <c r="F34" s="104">
        <f>SUM(F26:F30)</f>
        <v>147465.10000000001</v>
      </c>
      <c r="G34" s="104">
        <f>SUM(G26:G30)</f>
        <v>31721.900000000001</v>
      </c>
      <c r="H34" s="105">
        <f>SUM(H26:H30)</f>
        <v>9451.3999999999996</v>
      </c>
      <c r="I34" s="104">
        <f>SUM(I26:I30)</f>
        <v>20633.879999999997</v>
      </c>
      <c r="J34" s="105">
        <f>SUM(J26:J30)</f>
        <v>4980.4200000000001</v>
      </c>
      <c r="K34" s="104">
        <f t="shared" si="8"/>
        <v>-13310.18</v>
      </c>
      <c r="L34" s="105">
        <f t="shared" si="9"/>
        <v>-11088.020000000004</v>
      </c>
      <c r="M34" s="104">
        <f t="shared" si="10"/>
        <v>-126831.22</v>
      </c>
      <c r="N34" s="105">
        <f t="shared" si="11"/>
        <v>-4470.9799999999996</v>
      </c>
      <c r="O34" s="106">
        <f t="shared" si="12"/>
        <v>0.60787896321182555</v>
      </c>
      <c r="P34" s="122">
        <f t="shared" si="13"/>
        <v>0.52695050468713633</v>
      </c>
      <c r="Q34" s="106">
        <f t="shared" si="14"/>
        <v>0.6504616684372625</v>
      </c>
      <c r="R34" s="107">
        <f t="shared" si="15"/>
        <v>0.13992381926299849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</row>
    <row r="35" ht="17.25">
      <c r="A35" s="85" t="s">
        <v>81</v>
      </c>
      <c r="B35" s="86" t="s">
        <v>39</v>
      </c>
      <c r="C35" s="109" t="s">
        <v>82</v>
      </c>
      <c r="D35" s="110" t="s">
        <v>83</v>
      </c>
      <c r="E35" s="89">
        <v>95493.940000000002</v>
      </c>
      <c r="F35" s="89">
        <v>306696.20000000001</v>
      </c>
      <c r="G35" s="51">
        <v>99750</v>
      </c>
      <c r="H35" s="48">
        <v>36900</v>
      </c>
      <c r="I35" s="90">
        <v>81936.910000000003</v>
      </c>
      <c r="J35" s="48">
        <v>17333.939999999999</v>
      </c>
      <c r="K35" s="48">
        <f t="shared" si="8"/>
        <v>-13557.029999999999</v>
      </c>
      <c r="L35" s="48">
        <f t="shared" si="9"/>
        <v>-17813.089999999997</v>
      </c>
      <c r="M35" s="51">
        <f t="shared" si="10"/>
        <v>-224759.29000000001</v>
      </c>
      <c r="N35" s="48">
        <f t="shared" si="11"/>
        <v>-19566.060000000001</v>
      </c>
      <c r="O35" s="54">
        <f t="shared" si="12"/>
        <v>0.85803256206624212</v>
      </c>
      <c r="P35" s="53">
        <f t="shared" si="13"/>
        <v>0.46975447154471539</v>
      </c>
      <c r="Q35" s="111">
        <f t="shared" si="14"/>
        <v>0.82142265664160408</v>
      </c>
      <c r="R35" s="55">
        <f t="shared" si="15"/>
        <v>0.26715984743208426</v>
      </c>
      <c r="S35" s="1"/>
      <c r="T35" s="1"/>
      <c r="U35" s="1"/>
      <c r="V35" s="1"/>
      <c r="W35" s="1"/>
      <c r="X35" s="1"/>
      <c r="Y35" s="1"/>
      <c r="Z35" s="1"/>
    </row>
    <row r="36" ht="34.5">
      <c r="A36" s="91"/>
      <c r="B36" s="92"/>
      <c r="C36" s="58" t="s">
        <v>84</v>
      </c>
      <c r="D36" s="128" t="s">
        <v>85</v>
      </c>
      <c r="E36" s="94">
        <v>67233.089999999997</v>
      </c>
      <c r="F36" s="114">
        <v>106559.10000000001</v>
      </c>
      <c r="G36" s="94">
        <v>25212.700000000001</v>
      </c>
      <c r="H36" s="94">
        <v>7616</v>
      </c>
      <c r="I36" s="94">
        <v>74893.419999999998</v>
      </c>
      <c r="J36" s="94">
        <v>20134.209999999999</v>
      </c>
      <c r="K36" s="94">
        <f t="shared" si="8"/>
        <v>7660.3300000000017</v>
      </c>
      <c r="L36" s="95">
        <f t="shared" si="9"/>
        <v>49680.720000000001</v>
      </c>
      <c r="M36" s="94">
        <f t="shared" si="10"/>
        <v>-31665.680000000008</v>
      </c>
      <c r="N36" s="95">
        <f t="shared" si="11"/>
        <v>12518.209999999999</v>
      </c>
      <c r="O36" s="66">
        <f t="shared" si="12"/>
        <v>1.1139369022009846</v>
      </c>
      <c r="P36" s="65">
        <f t="shared" si="13"/>
        <v>2.6436725315126051</v>
      </c>
      <c r="Q36" s="66">
        <f t="shared" si="14"/>
        <v>2.9704640915094376</v>
      </c>
      <c r="R36" s="68">
        <f t="shared" si="15"/>
        <v>0.70283457724398946</v>
      </c>
      <c r="S36" s="1"/>
      <c r="T36" s="1"/>
      <c r="U36" s="1"/>
      <c r="V36" s="1"/>
      <c r="W36" s="1"/>
      <c r="X36" s="1"/>
      <c r="Y36" s="1"/>
      <c r="Z36" s="1"/>
    </row>
    <row r="37" ht="34.5">
      <c r="A37" s="91"/>
      <c r="B37" s="92"/>
      <c r="C37" s="69" t="s">
        <v>86</v>
      </c>
      <c r="D37" s="97" t="s">
        <v>87</v>
      </c>
      <c r="E37" s="94">
        <v>17305.630000000001</v>
      </c>
      <c r="F37" s="114">
        <v>58127.599999999999</v>
      </c>
      <c r="G37" s="95">
        <v>18970</v>
      </c>
      <c r="H37" s="94">
        <v>9580</v>
      </c>
      <c r="I37" s="127">
        <v>25006.689999999999</v>
      </c>
      <c r="J37" s="94">
        <v>7008.04</v>
      </c>
      <c r="K37" s="94">
        <f t="shared" si="8"/>
        <v>7701.0599999999977</v>
      </c>
      <c r="L37" s="94">
        <f t="shared" si="9"/>
        <v>6036.6899999999987</v>
      </c>
      <c r="M37" s="95">
        <f t="shared" si="10"/>
        <v>-33120.910000000003</v>
      </c>
      <c r="N37" s="94">
        <f t="shared" si="11"/>
        <v>-2571.96</v>
      </c>
      <c r="O37" s="65">
        <f t="shared" si="12"/>
        <v>1.4450031579318405</v>
      </c>
      <c r="P37" s="66">
        <f t="shared" si="13"/>
        <v>0.7315281837160752</v>
      </c>
      <c r="Q37" s="67">
        <f t="shared" si="14"/>
        <v>1.3182229836584078</v>
      </c>
      <c r="R37" s="68">
        <f t="shared" si="15"/>
        <v>0.43020338014987713</v>
      </c>
      <c r="S37" s="1"/>
      <c r="T37" s="1"/>
      <c r="U37" s="1"/>
      <c r="V37" s="1"/>
      <c r="W37" s="1"/>
      <c r="X37" s="1"/>
      <c r="Y37" s="1"/>
      <c r="Z37" s="1"/>
    </row>
    <row r="38" ht="34.5">
      <c r="A38" s="91"/>
      <c r="B38" s="92"/>
      <c r="C38" s="58" t="s">
        <v>88</v>
      </c>
      <c r="D38" s="128" t="s">
        <v>89</v>
      </c>
      <c r="E38" s="94">
        <v>10778.75</v>
      </c>
      <c r="F38" s="114">
        <v>86367.300000000003</v>
      </c>
      <c r="G38" s="94">
        <v>4610</v>
      </c>
      <c r="H38" s="94">
        <v>0</v>
      </c>
      <c r="I38" s="94">
        <v>4341.3000000000002</v>
      </c>
      <c r="J38" s="94">
        <v>58.200000000000003</v>
      </c>
      <c r="K38" s="94">
        <f t="shared" si="8"/>
        <v>-6437.4499999999998</v>
      </c>
      <c r="L38" s="94">
        <f t="shared" si="9"/>
        <v>-268.69999999999982</v>
      </c>
      <c r="M38" s="94">
        <f t="shared" si="10"/>
        <v>-82026</v>
      </c>
      <c r="N38" s="94">
        <f t="shared" si="11"/>
        <v>58.200000000000003</v>
      </c>
      <c r="O38" s="66">
        <f t="shared" si="12"/>
        <v>0.40276469906065177</v>
      </c>
      <c r="P38" s="66" t="str">
        <f t="shared" si="13"/>
        <v/>
      </c>
      <c r="Q38" s="66">
        <f t="shared" si="14"/>
        <v>0.94171366594360095</v>
      </c>
      <c r="R38" s="68">
        <f t="shared" si="15"/>
        <v>0.050265551892903909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1"/>
      <c r="B39" s="92"/>
      <c r="C39" s="69" t="s">
        <v>90</v>
      </c>
      <c r="D39" s="97" t="s">
        <v>91</v>
      </c>
      <c r="E39" s="94">
        <v>1689.9100000000001</v>
      </c>
      <c r="F39" s="94">
        <v>3217.3000000000002</v>
      </c>
      <c r="G39" s="95">
        <v>2084.6999999999998</v>
      </c>
      <c r="H39" s="94">
        <v>2084.6999999999998</v>
      </c>
      <c r="I39" s="127">
        <v>1697.6400000000001</v>
      </c>
      <c r="J39" s="94">
        <v>-87.260000000000005</v>
      </c>
      <c r="K39" s="94">
        <f t="shared" si="8"/>
        <v>7.7300000000000182</v>
      </c>
      <c r="L39" s="94">
        <f t="shared" si="9"/>
        <v>-387.05999999999972</v>
      </c>
      <c r="M39" s="95">
        <f t="shared" si="10"/>
        <v>-1519.6600000000001</v>
      </c>
      <c r="N39" s="94">
        <f t="shared" si="11"/>
        <v>-2171.96</v>
      </c>
      <c r="O39" s="65">
        <f t="shared" si="12"/>
        <v>1.0045742080939222</v>
      </c>
      <c r="P39" s="66">
        <f t="shared" si="13"/>
        <v>-0.041857341583920953</v>
      </c>
      <c r="Q39" s="67">
        <f t="shared" si="14"/>
        <v>0.814332997553605</v>
      </c>
      <c r="R39" s="68">
        <f t="shared" si="15"/>
        <v>0.52765983899543101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1"/>
      <c r="B40" s="92"/>
      <c r="C40" s="58" t="s">
        <v>92</v>
      </c>
      <c r="D40" s="97" t="s">
        <v>93</v>
      </c>
      <c r="E40" s="94">
        <v>222.68000000000001</v>
      </c>
      <c r="F40" s="94">
        <v>0</v>
      </c>
      <c r="G40" s="94">
        <v>0</v>
      </c>
      <c r="H40" s="94">
        <v>0</v>
      </c>
      <c r="I40" s="94">
        <v>824.64999999999998</v>
      </c>
      <c r="J40" s="94">
        <v>449.24000000000001</v>
      </c>
      <c r="K40" s="94">
        <f t="shared" si="8"/>
        <v>601.97000000000003</v>
      </c>
      <c r="L40" s="94">
        <f t="shared" si="9"/>
        <v>824.64999999999998</v>
      </c>
      <c r="M40" s="94">
        <f t="shared" si="10"/>
        <v>824.64999999999998</v>
      </c>
      <c r="N40" s="94">
        <f t="shared" si="11"/>
        <v>449.24000000000001</v>
      </c>
      <c r="O40" s="66">
        <f t="shared" si="12"/>
        <v>3.7032962098077959</v>
      </c>
      <c r="P40" s="66" t="str">
        <f t="shared" si="13"/>
        <v/>
      </c>
      <c r="Q40" s="66" t="str">
        <f t="shared" si="14"/>
        <v/>
      </c>
      <c r="R40" s="68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1"/>
      <c r="B41" s="92"/>
      <c r="C41" s="113" t="s">
        <v>69</v>
      </c>
      <c r="D41" s="128" t="s">
        <v>70</v>
      </c>
      <c r="E41" s="94">
        <v>463.18000000000001</v>
      </c>
      <c r="F41" s="114">
        <v>3460.9000000000001</v>
      </c>
      <c r="G41" s="94">
        <v>491</v>
      </c>
      <c r="H41" s="94">
        <v>204</v>
      </c>
      <c r="I41" s="94">
        <v>612.32999999999993</v>
      </c>
      <c r="J41" s="94">
        <v>314.25999999999999</v>
      </c>
      <c r="K41" s="94">
        <f t="shared" si="8"/>
        <v>149.14999999999992</v>
      </c>
      <c r="L41" s="95">
        <f t="shared" si="9"/>
        <v>121.32999999999993</v>
      </c>
      <c r="M41" s="94">
        <f t="shared" si="10"/>
        <v>-2848.5700000000002</v>
      </c>
      <c r="N41" s="94">
        <f t="shared" si="11"/>
        <v>110.25999999999999</v>
      </c>
      <c r="O41" s="66">
        <f t="shared" si="12"/>
        <v>1.3220130402867134</v>
      </c>
      <c r="P41" s="66">
        <f t="shared" si="13"/>
        <v>1.5404901960784314</v>
      </c>
      <c r="Q41" s="66">
        <f t="shared" si="14"/>
        <v>1.2471079429735232</v>
      </c>
      <c r="R41" s="68">
        <f t="shared" si="15"/>
        <v>0.17692796671386052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1"/>
      <c r="B42" s="92"/>
      <c r="C42" s="3" t="s">
        <v>94</v>
      </c>
      <c r="D42" s="128" t="s">
        <v>95</v>
      </c>
      <c r="E42" s="94">
        <v>34811.480000000003</v>
      </c>
      <c r="F42" s="114">
        <v>216854</v>
      </c>
      <c r="G42" s="95">
        <v>31853.799999999999</v>
      </c>
      <c r="H42" s="94">
        <v>17500</v>
      </c>
      <c r="I42" s="127">
        <v>67609.709999999992</v>
      </c>
      <c r="J42" s="94">
        <v>31214.239999999998</v>
      </c>
      <c r="K42" s="94">
        <f t="shared" si="8"/>
        <v>32798.229999999989</v>
      </c>
      <c r="L42" s="94">
        <f t="shared" si="9"/>
        <v>35755.909999999989</v>
      </c>
      <c r="M42" s="94">
        <f t="shared" si="10"/>
        <v>-149244.29000000001</v>
      </c>
      <c r="N42" s="94">
        <f t="shared" si="11"/>
        <v>13714.239999999998</v>
      </c>
      <c r="O42" s="65">
        <f t="shared" si="12"/>
        <v>1.9421670667262634</v>
      </c>
      <c r="P42" s="66">
        <f t="shared" si="13"/>
        <v>1.783670857142857</v>
      </c>
      <c r="Q42" s="67">
        <f t="shared" si="14"/>
        <v>2.1225006121718599</v>
      </c>
      <c r="R42" s="68">
        <f t="shared" si="15"/>
        <v>0.31177524970717624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1"/>
      <c r="B43" s="92"/>
      <c r="C43" s="113" t="s">
        <v>96</v>
      </c>
      <c r="D43" s="128" t="s">
        <v>97</v>
      </c>
      <c r="E43" s="94">
        <v>11201</v>
      </c>
      <c r="F43" s="114">
        <v>0</v>
      </c>
      <c r="G43" s="94">
        <v>0</v>
      </c>
      <c r="H43" s="94">
        <v>0</v>
      </c>
      <c r="I43" s="94">
        <v>5235.21</v>
      </c>
      <c r="J43" s="94">
        <v>0</v>
      </c>
      <c r="K43" s="94">
        <f t="shared" si="8"/>
        <v>-5965.79</v>
      </c>
      <c r="L43" s="94">
        <f t="shared" si="9"/>
        <v>5235.21</v>
      </c>
      <c r="M43" s="94">
        <f t="shared" si="10"/>
        <v>5235.21</v>
      </c>
      <c r="N43" s="95">
        <f t="shared" si="11"/>
        <v>0</v>
      </c>
      <c r="O43" s="66">
        <f t="shared" si="12"/>
        <v>0.46738773323810373</v>
      </c>
      <c r="P43" s="66" t="str">
        <f t="shared" si="13"/>
        <v/>
      </c>
      <c r="Q43" s="66" t="str">
        <f t="shared" si="14"/>
        <v/>
      </c>
      <c r="R43" s="68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1"/>
      <c r="B44" s="92"/>
      <c r="C44" s="3" t="s">
        <v>98</v>
      </c>
      <c r="D44" s="128" t="s">
        <v>99</v>
      </c>
      <c r="E44" s="94">
        <v>17151.049999999999</v>
      </c>
      <c r="F44" s="114">
        <v>101764.89999999999</v>
      </c>
      <c r="G44" s="94">
        <v>14200</v>
      </c>
      <c r="H44" s="94">
        <v>6100</v>
      </c>
      <c r="I44" s="94">
        <v>21994.889999999999</v>
      </c>
      <c r="J44" s="94">
        <v>13091.380000000001</v>
      </c>
      <c r="K44" s="94">
        <f t="shared" si="8"/>
        <v>4843.8400000000001</v>
      </c>
      <c r="L44" s="94">
        <f t="shared" si="9"/>
        <v>7794.8899999999994</v>
      </c>
      <c r="M44" s="94">
        <f t="shared" si="10"/>
        <v>-79770.009999999995</v>
      </c>
      <c r="N44" s="94">
        <f t="shared" si="11"/>
        <v>6991.380000000001</v>
      </c>
      <c r="O44" s="66">
        <f t="shared" si="12"/>
        <v>1.2824223589809371</v>
      </c>
      <c r="P44" s="66">
        <f t="shared" si="13"/>
        <v>2.1461278688524592</v>
      </c>
      <c r="Q44" s="67">
        <f t="shared" si="14"/>
        <v>1.5489359154929576</v>
      </c>
      <c r="R44" s="68">
        <f t="shared" si="15"/>
        <v>0.21613434494604722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1"/>
      <c r="B45" s="92"/>
      <c r="C45" s="113" t="s">
        <v>100</v>
      </c>
      <c r="D45" s="129" t="s">
        <v>101</v>
      </c>
      <c r="E45" s="94">
        <v>94.290000000000006</v>
      </c>
      <c r="F45" s="114">
        <v>0</v>
      </c>
      <c r="G45" s="94">
        <v>0</v>
      </c>
      <c r="H45" s="94">
        <v>0</v>
      </c>
      <c r="I45" s="94">
        <v>304.58999999999997</v>
      </c>
      <c r="J45" s="94">
        <v>0</v>
      </c>
      <c r="K45" s="94">
        <f t="shared" si="8"/>
        <v>210.29999999999995</v>
      </c>
      <c r="L45" s="94">
        <f t="shared" si="9"/>
        <v>304.58999999999997</v>
      </c>
      <c r="M45" s="94">
        <f t="shared" si="10"/>
        <v>304.58999999999997</v>
      </c>
      <c r="N45" s="95">
        <f t="shared" si="11"/>
        <v>0</v>
      </c>
      <c r="O45" s="66">
        <f t="shared" si="12"/>
        <v>3.2303531657651918</v>
      </c>
      <c r="P45" s="66" t="str">
        <f t="shared" si="13"/>
        <v/>
      </c>
      <c r="Q45" s="66" t="str">
        <f t="shared" si="14"/>
        <v/>
      </c>
      <c r="R45" s="68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1"/>
      <c r="B46" s="92"/>
      <c r="C46" s="69" t="s">
        <v>102</v>
      </c>
      <c r="D46" s="148" t="s">
        <v>103</v>
      </c>
      <c r="E46" s="114">
        <v>1795.71</v>
      </c>
      <c r="F46" s="114">
        <v>8380.6000000000004</v>
      </c>
      <c r="G46" s="95">
        <v>2093.8000000000002</v>
      </c>
      <c r="H46" s="94">
        <v>2093.8000000000002</v>
      </c>
      <c r="I46" s="127">
        <v>2725.7200000000003</v>
      </c>
      <c r="J46" s="94">
        <v>1084.8599999999999</v>
      </c>
      <c r="K46" s="94">
        <f t="shared" si="8"/>
        <v>930.01000000000022</v>
      </c>
      <c r="L46" s="94">
        <f t="shared" si="9"/>
        <v>631.92000000000007</v>
      </c>
      <c r="M46" s="95">
        <f t="shared" si="10"/>
        <v>-5654.8800000000001</v>
      </c>
      <c r="N46" s="94">
        <f t="shared" si="11"/>
        <v>-1008.9400000000003</v>
      </c>
      <c r="O46" s="65">
        <f t="shared" si="12"/>
        <v>1.5179065662050109</v>
      </c>
      <c r="P46" s="66">
        <f t="shared" si="13"/>
        <v>0.51812971630528215</v>
      </c>
      <c r="Q46" s="66">
        <f t="shared" si="14"/>
        <v>1.3018053300219696</v>
      </c>
      <c r="R46" s="68">
        <f t="shared" si="15"/>
        <v>0.32524162947760304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1"/>
      <c r="B47" s="92"/>
      <c r="C47" s="69" t="s">
        <v>104</v>
      </c>
      <c r="D47" s="93" t="s">
        <v>105</v>
      </c>
      <c r="E47" s="94">
        <v>17116.580000000002</v>
      </c>
      <c r="F47" s="114">
        <v>77364.100000000006</v>
      </c>
      <c r="G47" s="94">
        <v>19500</v>
      </c>
      <c r="H47" s="95">
        <v>8200</v>
      </c>
      <c r="I47" s="94">
        <v>26263.93</v>
      </c>
      <c r="J47" s="94">
        <v>9057.1900000000005</v>
      </c>
      <c r="K47" s="94">
        <f t="shared" si="8"/>
        <v>9147.3499999999985</v>
      </c>
      <c r="L47" s="95">
        <f t="shared" si="9"/>
        <v>6763.9300000000003</v>
      </c>
      <c r="M47" s="94">
        <f t="shared" si="10"/>
        <v>-51100.170000000006</v>
      </c>
      <c r="N47" s="95">
        <f t="shared" si="11"/>
        <v>857.19000000000051</v>
      </c>
      <c r="O47" s="66">
        <f t="shared" si="12"/>
        <v>1.534414585156614</v>
      </c>
      <c r="P47" s="65">
        <f t="shared" si="13"/>
        <v>1.1045353658536585</v>
      </c>
      <c r="Q47" s="66">
        <f t="shared" si="14"/>
        <v>1.346868205128205</v>
      </c>
      <c r="R47" s="68">
        <f t="shared" si="15"/>
        <v>0.33948472224197007</v>
      </c>
      <c r="S47" s="1"/>
      <c r="T47" s="1"/>
      <c r="U47" s="1"/>
      <c r="V47" s="1"/>
      <c r="W47" s="1"/>
      <c r="X47" s="1"/>
      <c r="Y47" s="1"/>
      <c r="Z47" s="1"/>
    </row>
    <row r="48" s="99" customFormat="1" ht="17.25">
      <c r="A48" s="100"/>
      <c r="B48" s="147"/>
      <c r="C48" s="102"/>
      <c r="D48" s="121" t="s">
        <v>56</v>
      </c>
      <c r="E48" s="149">
        <f>SUM(E35:E47)</f>
        <v>275357.28999999998</v>
      </c>
      <c r="F48" s="149">
        <f>SUM(F35:F47)</f>
        <v>968792.00000000012</v>
      </c>
      <c r="G48" s="149">
        <f>SUM(G35:G47)</f>
        <v>218766</v>
      </c>
      <c r="H48" s="104">
        <f>SUM(H35:H47)</f>
        <v>90278.5</v>
      </c>
      <c r="I48" s="105">
        <f>SUM(I35:I47)</f>
        <v>313446.98999999999</v>
      </c>
      <c r="J48" s="104">
        <f>SUM(J35:J47)</f>
        <v>99658.300000000003</v>
      </c>
      <c r="K48" s="105">
        <f>SUM(K35:K47)</f>
        <v>38089.69999999999</v>
      </c>
      <c r="L48" s="149">
        <f t="shared" si="9"/>
        <v>94680.989999999991</v>
      </c>
      <c r="M48" s="150">
        <f>SUM(M35:M47)</f>
        <v>-655345.01000000001</v>
      </c>
      <c r="N48" s="149">
        <f>SUM(N35:N47)</f>
        <v>9379.7999999999993</v>
      </c>
      <c r="O48" s="122">
        <f t="shared" si="12"/>
        <v>1.1383282788699729</v>
      </c>
      <c r="P48" s="106">
        <f t="shared" si="13"/>
        <v>1.103898491888988</v>
      </c>
      <c r="Q48" s="123">
        <f t="shared" si="14"/>
        <v>1.4327957269411151</v>
      </c>
      <c r="R48" s="107">
        <f t="shared" si="15"/>
        <v>0.32354415602110664</v>
      </c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</row>
    <row r="49" ht="17.25">
      <c r="A49" s="151" t="s">
        <v>106</v>
      </c>
      <c r="B49" s="152" t="s">
        <v>107</v>
      </c>
      <c r="C49" s="124" t="s">
        <v>108</v>
      </c>
      <c r="D49" s="153" t="s">
        <v>109</v>
      </c>
      <c r="E49" s="48">
        <v>117347.14</v>
      </c>
      <c r="F49" s="89">
        <f>672351.5-9496.39</f>
        <v>662855.10999999999</v>
      </c>
      <c r="G49" s="50">
        <f>181369.4-949.64</f>
        <v>180419.75999999998</v>
      </c>
      <c r="H49" s="51">
        <f>60215.4-949.64</f>
        <v>59265.760000000002</v>
      </c>
      <c r="I49" s="48">
        <v>115223.38</v>
      </c>
      <c r="J49" s="48">
        <v>120.7</v>
      </c>
      <c r="K49" s="48">
        <f t="shared" ref="K49:K83" si="16">I49-E49</f>
        <v>-2123.7599999999948</v>
      </c>
      <c r="L49" s="48">
        <f t="shared" si="9"/>
        <v>-65196.379999999976</v>
      </c>
      <c r="M49" s="48">
        <f t="shared" ref="M49:M83" si="17">I49-F49</f>
        <v>-547631.72999999998</v>
      </c>
      <c r="N49" s="48">
        <f t="shared" ref="N49:N83" si="18">J49-H49</f>
        <v>-59145.060000000005</v>
      </c>
      <c r="O49" s="53">
        <f t="shared" si="12"/>
        <v>0.98190190233865104</v>
      </c>
      <c r="P49" s="53">
        <f t="shared" si="13"/>
        <v>0.0020365890861772464</v>
      </c>
      <c r="Q49" s="53">
        <f t="shared" si="14"/>
        <v>0.63864057905852456</v>
      </c>
      <c r="R49" s="55">
        <f t="shared" si="15"/>
        <v>0.17382890810029361</v>
      </c>
      <c r="S49" s="1"/>
      <c r="T49" s="1"/>
      <c r="U49" s="1"/>
      <c r="V49" s="1"/>
      <c r="W49" s="1"/>
      <c r="X49" s="1"/>
      <c r="Y49" s="1"/>
      <c r="Z49" s="1"/>
    </row>
    <row r="50" ht="17.25">
      <c r="A50" s="91"/>
      <c r="B50" s="154"/>
      <c r="C50" s="58" t="s">
        <v>110</v>
      </c>
      <c r="D50" s="148" t="s">
        <v>111</v>
      </c>
      <c r="E50" s="94">
        <v>85353.490000000005</v>
      </c>
      <c r="F50" s="114">
        <f>494433.2-6983.53</f>
        <v>487449.66999999998</v>
      </c>
      <c r="G50" s="94">
        <f>138363.4-698.35</f>
        <v>137665.04999999999</v>
      </c>
      <c r="H50" s="94">
        <f>46617.3-698.35</f>
        <v>45918.950000000004</v>
      </c>
      <c r="I50" s="94">
        <v>86082.289999999994</v>
      </c>
      <c r="J50" s="94">
        <v>0</v>
      </c>
      <c r="K50" s="94">
        <f t="shared" si="16"/>
        <v>728.79999999998836</v>
      </c>
      <c r="L50" s="94">
        <f t="shared" si="9"/>
        <v>-51582.759999999995</v>
      </c>
      <c r="M50" s="94">
        <f t="shared" si="17"/>
        <v>-401367.38</v>
      </c>
      <c r="N50" s="94">
        <f t="shared" si="18"/>
        <v>-45918.950000000004</v>
      </c>
      <c r="O50" s="66">
        <f t="shared" si="12"/>
        <v>1.0085386080873786</v>
      </c>
      <c r="P50" s="66">
        <f t="shared" si="13"/>
        <v>0</v>
      </c>
      <c r="Q50" s="66">
        <f t="shared" si="14"/>
        <v>0.62530242788565438</v>
      </c>
      <c r="R50" s="68">
        <f t="shared" si="15"/>
        <v>0.17659728849544609</v>
      </c>
      <c r="S50" s="1"/>
      <c r="T50" s="1"/>
      <c r="U50" s="1"/>
      <c r="V50" s="1"/>
      <c r="W50" s="1"/>
      <c r="X50" s="1"/>
      <c r="Y50" s="1"/>
      <c r="Z50" s="1"/>
    </row>
    <row r="51" ht="17.25">
      <c r="A51" s="91"/>
      <c r="B51" s="154"/>
      <c r="C51" s="58" t="s">
        <v>112</v>
      </c>
      <c r="D51" s="148" t="s">
        <v>113</v>
      </c>
      <c r="E51" s="94">
        <v>651778.38</v>
      </c>
      <c r="F51" s="114">
        <f>4658773.5-65801.97</f>
        <v>4592971.5300000003</v>
      </c>
      <c r="G51" s="94">
        <f>1062903.4-6580.2</f>
        <v>1056323.2</v>
      </c>
      <c r="H51" s="94">
        <f>378469.4-6580.2</f>
        <v>371889.20000000001</v>
      </c>
      <c r="I51" s="94">
        <v>796516.85999999999</v>
      </c>
      <c r="J51" s="94">
        <v>182080.95999999999</v>
      </c>
      <c r="K51" s="94">
        <f t="shared" si="16"/>
        <v>144738.47999999998</v>
      </c>
      <c r="L51" s="94">
        <f t="shared" si="9"/>
        <v>-259806.33999999997</v>
      </c>
      <c r="M51" s="94">
        <f t="shared" si="17"/>
        <v>-3796454.6700000004</v>
      </c>
      <c r="N51" s="96">
        <f t="shared" si="18"/>
        <v>-189808.24000000002</v>
      </c>
      <c r="O51" s="66">
        <f t="shared" si="12"/>
        <v>1.2220670160921876</v>
      </c>
      <c r="P51" s="66">
        <f t="shared" si="13"/>
        <v>0.48961077654312085</v>
      </c>
      <c r="Q51" s="66">
        <f t="shared" si="14"/>
        <v>0.75404654560270945</v>
      </c>
      <c r="R51" s="68">
        <f t="shared" si="15"/>
        <v>0.17342081369269885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1"/>
      <c r="B52" s="154"/>
      <c r="C52" s="58"/>
      <c r="D52" s="155" t="s">
        <v>114</v>
      </c>
      <c r="E52" s="156">
        <f>E49+E50+E51</f>
        <v>854479.01000000001</v>
      </c>
      <c r="F52" s="157">
        <f>F49+F50+F51</f>
        <v>5743276.3100000005</v>
      </c>
      <c r="G52" s="157">
        <f>G51+G50+G49</f>
        <v>1374408.01</v>
      </c>
      <c r="H52" s="156">
        <f>H51+H50+H49</f>
        <v>477073.91000000003</v>
      </c>
      <c r="I52" s="156">
        <f>I51+I50+I49</f>
        <v>997822.53000000003</v>
      </c>
      <c r="J52" s="156">
        <f>J51+J50+J49</f>
        <v>182201.66</v>
      </c>
      <c r="K52" s="156">
        <f t="shared" si="16"/>
        <v>143343.52000000002</v>
      </c>
      <c r="L52" s="156">
        <f t="shared" si="9"/>
        <v>-376585.47999999998</v>
      </c>
      <c r="M52" s="156">
        <f t="shared" si="17"/>
        <v>-4745453.7800000003</v>
      </c>
      <c r="N52" s="158">
        <f t="shared" si="18"/>
        <v>-294872.25</v>
      </c>
      <c r="O52" s="159">
        <f t="shared" si="12"/>
        <v>1.1677554607222007</v>
      </c>
      <c r="P52" s="159">
        <f t="shared" si="13"/>
        <v>0.38191495317780005</v>
      </c>
      <c r="Q52" s="159">
        <f t="shared" si="14"/>
        <v>0.72600168417237321</v>
      </c>
      <c r="R52" s="160">
        <f t="shared" si="15"/>
        <v>0.17373751081114186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51"/>
      <c r="B53" s="154"/>
      <c r="C53" s="161" t="s">
        <v>115</v>
      </c>
      <c r="D53" s="162" t="s">
        <v>116</v>
      </c>
      <c r="E53" s="94">
        <v>550.16999999999996</v>
      </c>
      <c r="F53" s="127">
        <v>2266.5999999999999</v>
      </c>
      <c r="G53" s="163">
        <v>600</v>
      </c>
      <c r="H53" s="95">
        <v>200</v>
      </c>
      <c r="I53" s="163">
        <v>380.75</v>
      </c>
      <c r="J53" s="163">
        <v>113.37</v>
      </c>
      <c r="K53" s="164">
        <f t="shared" si="16"/>
        <v>-169.41999999999996</v>
      </c>
      <c r="L53" s="164">
        <f t="shared" si="9"/>
        <v>-219.25</v>
      </c>
      <c r="M53" s="164">
        <f t="shared" si="17"/>
        <v>-1885.8499999999999</v>
      </c>
      <c r="N53" s="165">
        <f t="shared" si="18"/>
        <v>-86.629999999999995</v>
      </c>
      <c r="O53" s="77">
        <f t="shared" si="12"/>
        <v>0.69205881818347059</v>
      </c>
      <c r="P53" s="77">
        <f t="shared" si="13"/>
        <v>0.56685000000000008</v>
      </c>
      <c r="Q53" s="77">
        <f t="shared" si="14"/>
        <v>0.63458333333333339</v>
      </c>
      <c r="R53" s="78">
        <f t="shared" si="15"/>
        <v>0.16798288184946616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66"/>
      <c r="B54" s="154"/>
      <c r="C54" s="69" t="s">
        <v>117</v>
      </c>
      <c r="D54" s="126" t="s">
        <v>118</v>
      </c>
      <c r="E54" s="94">
        <v>0</v>
      </c>
      <c r="F54" s="94">
        <v>11763.299999999999</v>
      </c>
      <c r="G54" s="94">
        <v>11763.299999999999</v>
      </c>
      <c r="H54" s="94">
        <v>0</v>
      </c>
      <c r="I54" s="94">
        <v>11728.389999999999</v>
      </c>
      <c r="J54" s="94">
        <v>5981.9700000000003</v>
      </c>
      <c r="K54" s="94">
        <f t="shared" si="16"/>
        <v>11728.389999999999</v>
      </c>
      <c r="L54" s="94">
        <f t="shared" si="9"/>
        <v>-34.909999999999854</v>
      </c>
      <c r="M54" s="94">
        <f t="shared" si="17"/>
        <v>-34.909999999999854</v>
      </c>
      <c r="N54" s="96">
        <f t="shared" si="18"/>
        <v>5981.9700000000003</v>
      </c>
      <c r="O54" s="66" t="str">
        <f t="shared" si="12"/>
        <v/>
      </c>
      <c r="P54" s="66" t="str">
        <f t="shared" si="13"/>
        <v/>
      </c>
      <c r="Q54" s="66">
        <f t="shared" si="14"/>
        <v>0.9970322953592955</v>
      </c>
      <c r="R54" s="68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67"/>
      <c r="B55" s="154"/>
      <c r="C55" s="168" t="s">
        <v>119</v>
      </c>
      <c r="D55" s="126" t="s">
        <v>103</v>
      </c>
      <c r="E55" s="94">
        <v>19424.650000000001</v>
      </c>
      <c r="F55" s="49">
        <v>121884.89999999999</v>
      </c>
      <c r="G55" s="49">
        <f>26600+400</f>
        <v>27000</v>
      </c>
      <c r="H55" s="114">
        <f>10000+400</f>
        <v>10400</v>
      </c>
      <c r="I55" s="95">
        <v>26316.700000000001</v>
      </c>
      <c r="J55" s="50">
        <v>5776.4699999999993</v>
      </c>
      <c r="K55" s="50">
        <f t="shared" si="16"/>
        <v>6892.0499999999993</v>
      </c>
      <c r="L55" s="50">
        <f t="shared" si="9"/>
        <v>-683.29999999999927</v>
      </c>
      <c r="M55" s="50">
        <f t="shared" si="17"/>
        <v>-95568.199999999997</v>
      </c>
      <c r="N55" s="169">
        <f t="shared" si="18"/>
        <v>-4623.5300000000007</v>
      </c>
      <c r="O55" s="170">
        <f t="shared" si="12"/>
        <v>1.3548094817667242</v>
      </c>
      <c r="P55" s="170">
        <f t="shared" si="13"/>
        <v>0.55542980769230765</v>
      </c>
      <c r="Q55" s="170">
        <f t="shared" si="14"/>
        <v>0.97469259259259267</v>
      </c>
      <c r="R55" s="171">
        <f t="shared" si="15"/>
        <v>0.21591435854646476</v>
      </c>
      <c r="S55" s="1"/>
      <c r="T55" s="1"/>
      <c r="U55" s="1"/>
      <c r="V55" s="1"/>
      <c r="W55" s="1"/>
      <c r="X55" s="1"/>
      <c r="Y55" s="1"/>
      <c r="Z55" s="1"/>
    </row>
    <row r="56" s="99" customFormat="1" ht="17.25">
      <c r="A56" s="100"/>
      <c r="B56" s="172"/>
      <c r="C56" s="102"/>
      <c r="D56" s="103" t="s">
        <v>56</v>
      </c>
      <c r="E56" s="104">
        <f>E52+E53+E54+E55</f>
        <v>874453.83000000007</v>
      </c>
      <c r="F56" s="104">
        <f>F52+F53+F54+F55</f>
        <v>5879191.1100000003</v>
      </c>
      <c r="G56" s="104">
        <f>G52+G53+G54+G55</f>
        <v>1413771.3100000001</v>
      </c>
      <c r="H56" s="104">
        <f>H52+H53+H54+H55</f>
        <v>487673.91000000003</v>
      </c>
      <c r="I56" s="104">
        <f>I52+I53+I54+I55</f>
        <v>1036248.37</v>
      </c>
      <c r="J56" s="104">
        <f>J52+J53+J54+J55</f>
        <v>194073.47</v>
      </c>
      <c r="K56" s="104">
        <f t="shared" si="16"/>
        <v>161794.53999999992</v>
      </c>
      <c r="L56" s="105">
        <f t="shared" si="9"/>
        <v>-377522.94000000006</v>
      </c>
      <c r="M56" s="104">
        <f t="shared" si="17"/>
        <v>-4842942.7400000002</v>
      </c>
      <c r="N56" s="105">
        <f t="shared" si="18"/>
        <v>-293600.44000000006</v>
      </c>
      <c r="O56" s="106">
        <f t="shared" si="12"/>
        <v>1.185023536348397</v>
      </c>
      <c r="P56" s="122">
        <f t="shared" si="13"/>
        <v>0.3979574589093765</v>
      </c>
      <c r="Q56" s="106">
        <f t="shared" si="14"/>
        <v>0.73296746275039348</v>
      </c>
      <c r="R56" s="107">
        <f t="shared" si="15"/>
        <v>0.17625696300932117</v>
      </c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</row>
    <row r="57" ht="17.25">
      <c r="A57" s="108">
        <v>991</v>
      </c>
      <c r="B57" s="86" t="s">
        <v>120</v>
      </c>
      <c r="C57" s="109" t="s">
        <v>69</v>
      </c>
      <c r="D57" s="110" t="s">
        <v>121</v>
      </c>
      <c r="E57" s="89">
        <v>14503.950000000001</v>
      </c>
      <c r="F57" s="89">
        <v>80120.600000000006</v>
      </c>
      <c r="G57" s="51">
        <v>17620.599999999999</v>
      </c>
      <c r="H57" s="48">
        <v>6500</v>
      </c>
      <c r="I57" s="90">
        <v>17639.800000000003</v>
      </c>
      <c r="J57" s="173">
        <v>5522.9499999999998</v>
      </c>
      <c r="K57" s="48">
        <f t="shared" si="16"/>
        <v>3135.8500000000022</v>
      </c>
      <c r="L57" s="48">
        <f t="shared" si="9"/>
        <v>19.200000000004366</v>
      </c>
      <c r="M57" s="51">
        <f t="shared" si="17"/>
        <v>-62480.800000000003</v>
      </c>
      <c r="N57" s="48">
        <f t="shared" si="18"/>
        <v>-977.05000000000018</v>
      </c>
      <c r="O57" s="54">
        <f t="shared" si="12"/>
        <v>1.2162066195760466</v>
      </c>
      <c r="P57" s="53">
        <f t="shared" si="13"/>
        <v>0.84968461538461537</v>
      </c>
      <c r="Q57" s="111">
        <f t="shared" si="14"/>
        <v>1.0010896337241639</v>
      </c>
      <c r="R57" s="55">
        <f t="shared" si="15"/>
        <v>0.22016560035746116</v>
      </c>
      <c r="S57" s="1"/>
      <c r="T57" s="1"/>
      <c r="U57" s="1"/>
      <c r="V57" s="1"/>
      <c r="W57" s="1"/>
      <c r="X57" s="1"/>
      <c r="Y57" s="1"/>
      <c r="Z57" s="1"/>
    </row>
    <row r="58" ht="17.25">
      <c r="A58" s="112"/>
      <c r="B58" s="92"/>
      <c r="C58" s="58" t="s">
        <v>122</v>
      </c>
      <c r="D58" s="93" t="s">
        <v>123</v>
      </c>
      <c r="E58" s="94">
        <v>1813.8399999999999</v>
      </c>
      <c r="F58" s="114">
        <v>0</v>
      </c>
      <c r="G58" s="94">
        <v>0</v>
      </c>
      <c r="H58" s="95">
        <v>0</v>
      </c>
      <c r="I58" s="94">
        <v>0</v>
      </c>
      <c r="J58" s="94">
        <v>0</v>
      </c>
      <c r="K58" s="95">
        <f t="shared" si="16"/>
        <v>-1813.8399999999999</v>
      </c>
      <c r="L58" s="94">
        <f t="shared" si="9"/>
        <v>0</v>
      </c>
      <c r="M58" s="94">
        <f t="shared" si="17"/>
        <v>0</v>
      </c>
      <c r="N58" s="95">
        <f t="shared" si="18"/>
        <v>0</v>
      </c>
      <c r="O58" s="66">
        <f t="shared" si="12"/>
        <v>0</v>
      </c>
      <c r="P58" s="65" t="str">
        <f t="shared" si="13"/>
        <v/>
      </c>
      <c r="Q58" s="66" t="str">
        <f t="shared" si="14"/>
        <v/>
      </c>
      <c r="R58" s="68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9" customFormat="1" ht="17.25">
      <c r="A59" s="174"/>
      <c r="B59" s="101"/>
      <c r="C59" s="120"/>
      <c r="D59" s="121" t="s">
        <v>56</v>
      </c>
      <c r="E59" s="104">
        <f>SUM(E57:E58)</f>
        <v>16317.790000000001</v>
      </c>
      <c r="F59" s="104">
        <f>SUM(F57:F58)</f>
        <v>80120.600000000006</v>
      </c>
      <c r="G59" s="105">
        <f>SUM(G57:G58)</f>
        <v>17620.599999999999</v>
      </c>
      <c r="H59" s="104">
        <f>SUM(H57:H58)</f>
        <v>6500</v>
      </c>
      <c r="I59" s="104">
        <f>SUM(I57:I58)</f>
        <v>17639.800000000003</v>
      </c>
      <c r="J59" s="104">
        <f>SUM(J57:J58)</f>
        <v>5522.9499999999998</v>
      </c>
      <c r="K59" s="104">
        <f t="shared" si="16"/>
        <v>1322.010000000002</v>
      </c>
      <c r="L59" s="105">
        <f t="shared" si="9"/>
        <v>19.200000000004366</v>
      </c>
      <c r="M59" s="104">
        <f t="shared" si="17"/>
        <v>-62480.800000000003</v>
      </c>
      <c r="N59" s="104">
        <f t="shared" si="18"/>
        <v>-977.05000000000018</v>
      </c>
      <c r="O59" s="122">
        <f t="shared" si="12"/>
        <v>1.0810164856883195</v>
      </c>
      <c r="P59" s="106">
        <f t="shared" si="13"/>
        <v>0.84968461538461537</v>
      </c>
      <c r="Q59" s="123">
        <f t="shared" si="14"/>
        <v>1.0010896337241639</v>
      </c>
      <c r="R59" s="107">
        <f t="shared" si="15"/>
        <v>0.22016560035746116</v>
      </c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ht="17.25">
      <c r="A60" s="151" t="s">
        <v>124</v>
      </c>
      <c r="B60" s="86" t="s">
        <v>125</v>
      </c>
      <c r="C60" s="124" t="s">
        <v>126</v>
      </c>
      <c r="D60" s="125" t="s">
        <v>127</v>
      </c>
      <c r="E60" s="48">
        <v>29465.18</v>
      </c>
      <c r="F60" s="89">
        <v>3503</v>
      </c>
      <c r="G60" s="48">
        <v>798.79999999999995</v>
      </c>
      <c r="H60" s="51">
        <v>193.19999999999999</v>
      </c>
      <c r="I60" s="48">
        <v>808.28999999999996</v>
      </c>
      <c r="J60" s="48">
        <v>204.06</v>
      </c>
      <c r="K60" s="48">
        <f t="shared" si="16"/>
        <v>-28656.889999999999</v>
      </c>
      <c r="L60" s="48">
        <f t="shared" si="9"/>
        <v>9.4900000000000091</v>
      </c>
      <c r="M60" s="51">
        <f t="shared" si="17"/>
        <v>-2694.71</v>
      </c>
      <c r="N60" s="48">
        <f t="shared" si="18"/>
        <v>10.860000000000014</v>
      </c>
      <c r="O60" s="53">
        <f t="shared" si="12"/>
        <v>0.027432040123291288</v>
      </c>
      <c r="P60" s="54">
        <f t="shared" si="13"/>
        <v>1.0562111801242238</v>
      </c>
      <c r="Q60" s="53">
        <f t="shared" si="14"/>
        <v>1.0118803204807212</v>
      </c>
      <c r="R60" s="55">
        <f t="shared" si="15"/>
        <v>0.23074222095346844</v>
      </c>
      <c r="S60" s="1"/>
      <c r="T60" s="1"/>
      <c r="U60" s="1"/>
      <c r="V60" s="1"/>
      <c r="W60" s="1"/>
      <c r="X60" s="1"/>
      <c r="Y60" s="1"/>
      <c r="Z60" s="1"/>
    </row>
    <row r="61" ht="17.25">
      <c r="A61" s="91"/>
      <c r="B61" s="92"/>
      <c r="C61" s="69" t="s">
        <v>104</v>
      </c>
      <c r="D61" s="148" t="s">
        <v>128</v>
      </c>
      <c r="E61" s="94">
        <v>5623.1499999999996</v>
      </c>
      <c r="F61" s="114">
        <v>62240.599999999999</v>
      </c>
      <c r="G61" s="94">
        <v>2100</v>
      </c>
      <c r="H61" s="98">
        <v>1500</v>
      </c>
      <c r="I61" s="94">
        <v>53163.379999999997</v>
      </c>
      <c r="J61" s="94">
        <v>4936.1000000000004</v>
      </c>
      <c r="K61" s="94">
        <f t="shared" si="16"/>
        <v>47540.229999999996</v>
      </c>
      <c r="L61" s="94">
        <f t="shared" si="9"/>
        <v>51063.379999999997</v>
      </c>
      <c r="M61" s="94">
        <f t="shared" si="17"/>
        <v>-9077.2200000000012</v>
      </c>
      <c r="N61" s="95">
        <f t="shared" si="18"/>
        <v>3436.1000000000004</v>
      </c>
      <c r="O61" s="66">
        <f t="shared" si="12"/>
        <v>9.4543769951006116</v>
      </c>
      <c r="P61" s="66">
        <f t="shared" si="13"/>
        <v>3.2907333333333337</v>
      </c>
      <c r="Q61" s="67">
        <f t="shared" si="14"/>
        <v>25.315895238095237</v>
      </c>
      <c r="R61" s="68">
        <f t="shared" si="15"/>
        <v>0.8541591822700938</v>
      </c>
      <c r="S61" s="1"/>
      <c r="T61" s="1"/>
      <c r="U61" s="1"/>
      <c r="V61" s="1"/>
      <c r="W61" s="1"/>
      <c r="X61" s="1"/>
      <c r="Y61" s="1"/>
      <c r="Z61" s="1"/>
    </row>
    <row r="62" s="99" customFormat="1" ht="17.25">
      <c r="A62" s="100"/>
      <c r="B62" s="101"/>
      <c r="C62" s="102"/>
      <c r="D62" s="103" t="s">
        <v>56</v>
      </c>
      <c r="E62" s="104">
        <f>SUM(E60:E61)</f>
        <v>35088.330000000002</v>
      </c>
      <c r="F62" s="104">
        <f>SUM(F60:F61)</f>
        <v>65743.600000000006</v>
      </c>
      <c r="G62" s="104">
        <f>SUM(G60:G61)</f>
        <v>2898.8000000000002</v>
      </c>
      <c r="H62" s="104">
        <f>SUM(H60:H61)</f>
        <v>1693.2</v>
      </c>
      <c r="I62" s="104">
        <f>SUM(I60:I61)</f>
        <v>53971.669999999998</v>
      </c>
      <c r="J62" s="104">
        <f>SUM(J60:J61)</f>
        <v>5140.1600000000008</v>
      </c>
      <c r="K62" s="104">
        <f t="shared" si="16"/>
        <v>18883.339999999997</v>
      </c>
      <c r="L62" s="105">
        <f t="shared" si="9"/>
        <v>51072.869999999995</v>
      </c>
      <c r="M62" s="104">
        <f t="shared" si="17"/>
        <v>-11771.930000000008</v>
      </c>
      <c r="N62" s="104">
        <f t="shared" si="18"/>
        <v>3446.9600000000009</v>
      </c>
      <c r="O62" s="122">
        <f t="shared" si="12"/>
        <v>1.5381658232238467</v>
      </c>
      <c r="P62" s="106">
        <f t="shared" si="13"/>
        <v>3.0357665957949447</v>
      </c>
      <c r="Q62" s="106">
        <f t="shared" si="14"/>
        <v>18.61862494825445</v>
      </c>
      <c r="R62" s="107">
        <f t="shared" si="15"/>
        <v>0.82094181030548974</v>
      </c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</row>
    <row r="63" ht="17.25">
      <c r="A63" s="115"/>
      <c r="B63" s="86" t="s">
        <v>129</v>
      </c>
      <c r="C63" s="46" t="s">
        <v>130</v>
      </c>
      <c r="D63" s="175" t="s">
        <v>131</v>
      </c>
      <c r="E63" s="89">
        <v>69.590000000000003</v>
      </c>
      <c r="F63" s="89">
        <v>793.5</v>
      </c>
      <c r="G63" s="51">
        <v>95.299999999999997</v>
      </c>
      <c r="H63" s="50">
        <v>32.399999999999999</v>
      </c>
      <c r="I63" s="127">
        <v>1078.5</v>
      </c>
      <c r="J63" s="48">
        <v>701.31000000000006</v>
      </c>
      <c r="K63" s="48">
        <f t="shared" si="16"/>
        <v>1008.91</v>
      </c>
      <c r="L63" s="48">
        <f t="shared" si="9"/>
        <v>983.20000000000005</v>
      </c>
      <c r="M63" s="51">
        <f t="shared" si="17"/>
        <v>285</v>
      </c>
      <c r="N63" s="48">
        <f t="shared" si="18"/>
        <v>668.91000000000008</v>
      </c>
      <c r="O63" s="53">
        <f t="shared" si="12"/>
        <v>15.497916367294151</v>
      </c>
      <c r="P63" s="54">
        <f t="shared" si="13"/>
        <v>21.645370370370372</v>
      </c>
      <c r="Q63" s="53">
        <f t="shared" si="14"/>
        <v>11.316894018887723</v>
      </c>
      <c r="R63" s="55">
        <f t="shared" si="15"/>
        <v>1.3591682419659736</v>
      </c>
      <c r="S63" s="1"/>
      <c r="T63" s="1"/>
      <c r="U63" s="1"/>
      <c r="V63" s="1"/>
      <c r="W63" s="1"/>
      <c r="X63" s="1"/>
      <c r="Y63" s="1"/>
      <c r="Z63" s="1"/>
    </row>
    <row r="64" ht="17.25">
      <c r="A64" s="112"/>
      <c r="B64" s="92"/>
      <c r="C64" s="58" t="s">
        <v>132</v>
      </c>
      <c r="D64" s="97" t="s">
        <v>133</v>
      </c>
      <c r="E64" s="94">
        <v>257.25</v>
      </c>
      <c r="F64" s="96">
        <v>44.399999999999999</v>
      </c>
      <c r="G64" s="96">
        <v>44.399999999999999</v>
      </c>
      <c r="H64" s="176">
        <v>0</v>
      </c>
      <c r="I64" s="94">
        <v>782.69000000000005</v>
      </c>
      <c r="J64" s="94">
        <v>24.120000000000001</v>
      </c>
      <c r="K64" s="94">
        <f t="shared" si="16"/>
        <v>525.44000000000005</v>
      </c>
      <c r="L64" s="94">
        <f t="shared" si="9"/>
        <v>738.29000000000008</v>
      </c>
      <c r="M64" s="94">
        <f t="shared" si="17"/>
        <v>738.29000000000008</v>
      </c>
      <c r="N64" s="95">
        <f t="shared" si="18"/>
        <v>24.120000000000001</v>
      </c>
      <c r="O64" s="66">
        <f t="shared" si="12"/>
        <v>3.0425267249757049</v>
      </c>
      <c r="P64" s="66" t="str">
        <f t="shared" si="13"/>
        <v/>
      </c>
      <c r="Q64" s="67">
        <f t="shared" si="14"/>
        <v>17.628153153153153</v>
      </c>
      <c r="R64" s="177">
        <f t="shared" si="15"/>
        <v>17.628153153153153</v>
      </c>
      <c r="S64" s="1"/>
      <c r="T64" s="1"/>
      <c r="U64" s="1"/>
      <c r="V64" s="1"/>
      <c r="W64" s="1"/>
      <c r="X64" s="1"/>
      <c r="Y64" s="1"/>
      <c r="Z64" s="1"/>
    </row>
    <row r="65" ht="13.5">
      <c r="A65" s="112"/>
      <c r="B65" s="92"/>
      <c r="C65" s="69" t="s">
        <v>52</v>
      </c>
      <c r="D65" s="97" t="s">
        <v>53</v>
      </c>
      <c r="E65" s="94"/>
      <c r="F65" s="94">
        <v>445</v>
      </c>
      <c r="G65" s="94">
        <v>0</v>
      </c>
      <c r="H65" s="94">
        <v>0</v>
      </c>
      <c r="I65" s="94">
        <v>0</v>
      </c>
      <c r="J65" s="94">
        <v>0</v>
      </c>
      <c r="K65" s="94">
        <f t="shared" si="16"/>
        <v>0</v>
      </c>
      <c r="L65" s="94">
        <f t="shared" si="9"/>
        <v>0</v>
      </c>
      <c r="M65" s="95">
        <f t="shared" si="17"/>
        <v>-445</v>
      </c>
      <c r="N65" s="94">
        <f t="shared" si="18"/>
        <v>0</v>
      </c>
      <c r="O65" s="65" t="str">
        <f t="shared" si="12"/>
        <v/>
      </c>
      <c r="P65" s="66" t="str">
        <f t="shared" si="13"/>
        <v/>
      </c>
      <c r="Q65" s="66" t="str">
        <f t="shared" si="14"/>
        <v/>
      </c>
      <c r="R65" s="68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12"/>
      <c r="B66" s="92"/>
      <c r="C66" s="58" t="s">
        <v>134</v>
      </c>
      <c r="D66" s="97" t="s">
        <v>135</v>
      </c>
      <c r="E66" s="94">
        <v>14818.049999999999</v>
      </c>
      <c r="F66" s="94">
        <v>1508.599999999255</v>
      </c>
      <c r="G66" s="94">
        <v>225</v>
      </c>
      <c r="H66" s="94">
        <v>86</v>
      </c>
      <c r="I66" s="95">
        <v>26411.560000000001</v>
      </c>
      <c r="J66" s="94">
        <v>16145.27</v>
      </c>
      <c r="K66" s="94">
        <f t="shared" si="16"/>
        <v>11593.510000000002</v>
      </c>
      <c r="L66" s="94">
        <f t="shared" si="9"/>
        <v>26186.560000000001</v>
      </c>
      <c r="M66" s="94">
        <f t="shared" si="17"/>
        <v>24902.960000000745</v>
      </c>
      <c r="N66" s="95">
        <f t="shared" si="18"/>
        <v>16059.27</v>
      </c>
      <c r="O66" s="66">
        <f t="shared" si="12"/>
        <v>1.7823910703500125</v>
      </c>
      <c r="P66" s="178">
        <f t="shared" si="13"/>
        <v>187.73569767441862</v>
      </c>
      <c r="Q66" s="179">
        <f t="shared" si="14"/>
        <v>117.38471111111112</v>
      </c>
      <c r="R66" s="177">
        <f t="shared" si="15"/>
        <v>17.507331300552195</v>
      </c>
      <c r="S66" s="1"/>
      <c r="T66" s="1"/>
      <c r="U66" s="1"/>
      <c r="V66" s="1"/>
      <c r="W66" s="1"/>
      <c r="X66" s="1"/>
      <c r="Y66" s="1"/>
      <c r="Z66" s="1"/>
    </row>
    <row r="67" ht="13.5">
      <c r="A67" s="112"/>
      <c r="B67" s="92"/>
      <c r="C67" s="69" t="s">
        <v>102</v>
      </c>
      <c r="D67" s="97" t="s">
        <v>103</v>
      </c>
      <c r="E67" s="94">
        <v>23525.5</v>
      </c>
      <c r="F67" s="94">
        <v>101553.59999999998</v>
      </c>
      <c r="G67" s="94">
        <v>25079.599999999999</v>
      </c>
      <c r="H67" s="94">
        <v>8200.7000000000007</v>
      </c>
      <c r="I67" s="94">
        <v>21221.68</v>
      </c>
      <c r="J67" s="94">
        <v>6402.6599999999999</v>
      </c>
      <c r="K67" s="94">
        <f t="shared" si="16"/>
        <v>-2303.8199999999997</v>
      </c>
      <c r="L67" s="94">
        <f t="shared" si="9"/>
        <v>-3857.9199999999983</v>
      </c>
      <c r="M67" s="95">
        <f t="shared" si="17"/>
        <v>-80331.919999999984</v>
      </c>
      <c r="N67" s="94">
        <f t="shared" si="18"/>
        <v>-1798.0400000000009</v>
      </c>
      <c r="O67" s="65">
        <f t="shared" si="12"/>
        <v>0.90207136936515697</v>
      </c>
      <c r="P67" s="66">
        <f t="shared" si="13"/>
        <v>0.78074554611191715</v>
      </c>
      <c r="Q67" s="67">
        <f t="shared" si="14"/>
        <v>0.84617298521507522</v>
      </c>
      <c r="R67" s="68">
        <f t="shared" si="15"/>
        <v>0.20897023837658149</v>
      </c>
      <c r="S67" s="1"/>
      <c r="T67" s="1"/>
      <c r="U67" s="1"/>
      <c r="V67" s="1"/>
      <c r="W67" s="1"/>
      <c r="X67" s="1"/>
      <c r="Y67" s="1"/>
      <c r="Z67" s="1"/>
    </row>
    <row r="68" ht="13.5">
      <c r="A68" s="112"/>
      <c r="B68" s="92"/>
      <c r="C68" s="58" t="s">
        <v>136</v>
      </c>
      <c r="D68" s="97" t="s">
        <v>137</v>
      </c>
      <c r="E68" s="94">
        <v>323.94999999999999</v>
      </c>
      <c r="F68" s="114">
        <v>0</v>
      </c>
      <c r="G68" s="94">
        <v>0</v>
      </c>
      <c r="H68" s="95">
        <v>0</v>
      </c>
      <c r="I68" s="94">
        <v>187.14000000000001</v>
      </c>
      <c r="J68" s="95">
        <v>205.83000000000001</v>
      </c>
      <c r="K68" s="94">
        <f t="shared" si="16"/>
        <v>-136.80999999999997</v>
      </c>
      <c r="L68" s="94">
        <f t="shared" si="9"/>
        <v>187.14000000000001</v>
      </c>
      <c r="M68" s="94">
        <f t="shared" si="17"/>
        <v>187.14000000000001</v>
      </c>
      <c r="N68" s="95">
        <f t="shared" si="18"/>
        <v>205.83000000000001</v>
      </c>
      <c r="O68" s="66">
        <f t="shared" si="12"/>
        <v>0.57768174100941505</v>
      </c>
      <c r="P68" s="65" t="str">
        <f t="shared" si="13"/>
        <v/>
      </c>
      <c r="Q68" s="66" t="str">
        <f t="shared" si="14"/>
        <v/>
      </c>
      <c r="R68" s="68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2"/>
      <c r="B69" s="92"/>
      <c r="C69" s="69" t="s">
        <v>138</v>
      </c>
      <c r="D69" s="97" t="s">
        <v>139</v>
      </c>
      <c r="E69" s="94">
        <v>441.75999999999999</v>
      </c>
      <c r="F69" s="94">
        <v>0</v>
      </c>
      <c r="G69" s="94">
        <v>0</v>
      </c>
      <c r="H69" s="94">
        <v>0</v>
      </c>
      <c r="I69" s="94">
        <v>124.22</v>
      </c>
      <c r="J69" s="94">
        <v>9.2899999999999991</v>
      </c>
      <c r="K69" s="94">
        <f t="shared" si="16"/>
        <v>-317.53999999999996</v>
      </c>
      <c r="L69" s="94">
        <f t="shared" si="9"/>
        <v>124.22</v>
      </c>
      <c r="M69" s="94">
        <f t="shared" si="17"/>
        <v>124.22</v>
      </c>
      <c r="N69" s="94">
        <f t="shared" si="18"/>
        <v>9.2899999999999991</v>
      </c>
      <c r="O69" s="65">
        <f t="shared" si="12"/>
        <v>0.28119340818544009</v>
      </c>
      <c r="P69" s="66" t="str">
        <f t="shared" si="13"/>
        <v/>
      </c>
      <c r="Q69" s="67" t="str">
        <f t="shared" si="14"/>
        <v/>
      </c>
      <c r="R69" s="68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12"/>
      <c r="B70" s="92"/>
      <c r="C70" s="58" t="s">
        <v>140</v>
      </c>
      <c r="D70" s="93" t="s">
        <v>141</v>
      </c>
      <c r="E70" s="94">
        <v>5859.4399999999996</v>
      </c>
      <c r="F70" s="114">
        <v>0</v>
      </c>
      <c r="G70" s="94">
        <v>0</v>
      </c>
      <c r="H70" s="95">
        <v>0</v>
      </c>
      <c r="I70" s="94">
        <v>2022.3800000000001</v>
      </c>
      <c r="J70" s="94">
        <v>1656.4300000000001</v>
      </c>
      <c r="K70" s="94">
        <f t="shared" si="16"/>
        <v>-3837.0599999999995</v>
      </c>
      <c r="L70" s="95">
        <f t="shared" si="9"/>
        <v>2022.3800000000001</v>
      </c>
      <c r="M70" s="94">
        <f t="shared" si="17"/>
        <v>2022.3800000000001</v>
      </c>
      <c r="N70" s="95">
        <f t="shared" si="18"/>
        <v>1656.4300000000001</v>
      </c>
      <c r="O70" s="66">
        <f t="shared" si="12"/>
        <v>0.34514902448015516</v>
      </c>
      <c r="P70" s="65" t="str">
        <f t="shared" si="13"/>
        <v/>
      </c>
      <c r="Q70" s="66" t="str">
        <f t="shared" si="14"/>
        <v/>
      </c>
      <c r="R70" s="68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9" customFormat="1" ht="13.5">
      <c r="A71" s="174"/>
      <c r="B71" s="101"/>
      <c r="C71" s="120"/>
      <c r="D71" s="121" t="s">
        <v>56</v>
      </c>
      <c r="E71" s="104">
        <f>SUM(E63:E70)</f>
        <v>45295.540000000001</v>
      </c>
      <c r="F71" s="104">
        <f>SUM(F63:F70)</f>
        <v>104345.09999999923</v>
      </c>
      <c r="G71" s="180">
        <f>SUM(G63:G70)</f>
        <v>25444.299999999999</v>
      </c>
      <c r="H71" s="104">
        <f>SUM(H63:H70)</f>
        <v>8319.1000000000004</v>
      </c>
      <c r="I71" s="104">
        <f>SUM(I63:I70)</f>
        <v>51828.169999999998</v>
      </c>
      <c r="J71" s="104">
        <f>SUM(J63:J70)</f>
        <v>25144.910000000003</v>
      </c>
      <c r="K71" s="105">
        <f t="shared" si="16"/>
        <v>6532.6299999999974</v>
      </c>
      <c r="L71" s="104">
        <f t="shared" si="9"/>
        <v>26383.869999999999</v>
      </c>
      <c r="M71" s="105">
        <f t="shared" si="17"/>
        <v>-52516.929999999236</v>
      </c>
      <c r="N71" s="104">
        <f t="shared" si="18"/>
        <v>16825.810000000005</v>
      </c>
      <c r="O71" s="122">
        <f t="shared" si="12"/>
        <v>1.144222367146964</v>
      </c>
      <c r="P71" s="106">
        <f t="shared" si="13"/>
        <v>3.0225517183349164</v>
      </c>
      <c r="Q71" s="123">
        <f t="shared" si="14"/>
        <v>2.0369265415043842</v>
      </c>
      <c r="R71" s="107">
        <f t="shared" si="15"/>
        <v>0.49669960544386249</v>
      </c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</row>
    <row r="72" s="32" customFormat="1" ht="13.5">
      <c r="A72" s="181"/>
      <c r="B72" s="182" t="s">
        <v>142</v>
      </c>
      <c r="C72" s="183"/>
      <c r="D72" s="184"/>
      <c r="E72" s="83">
        <f>E5+E17</f>
        <v>4724432.1599999992</v>
      </c>
      <c r="F72" s="83">
        <f>F5+F17</f>
        <v>36906035.510000005</v>
      </c>
      <c r="G72" s="83">
        <f>G5+G17</f>
        <v>6615118.0099999998</v>
      </c>
      <c r="H72" s="83">
        <f>H5+H17</f>
        <v>2802761.9100000001</v>
      </c>
      <c r="I72" s="83">
        <f>I5+I17</f>
        <v>5416663.6800000006</v>
      </c>
      <c r="J72" s="83">
        <f>J5+J17</f>
        <v>1826906.6499999999</v>
      </c>
      <c r="K72" s="83">
        <f t="shared" si="16"/>
        <v>692231.52000000142</v>
      </c>
      <c r="L72" s="83">
        <f t="shared" si="9"/>
        <v>-1198454.3299999991</v>
      </c>
      <c r="M72" s="83">
        <f t="shared" si="17"/>
        <v>-31489371.830000006</v>
      </c>
      <c r="N72" s="84">
        <f t="shared" si="18"/>
        <v>-975855.26000000024</v>
      </c>
      <c r="O72" s="41">
        <f t="shared" si="12"/>
        <v>1.1465216340412012</v>
      </c>
      <c r="P72" s="40">
        <f t="shared" si="13"/>
        <v>0.65182370414046331</v>
      </c>
      <c r="Q72" s="41">
        <f t="shared" si="14"/>
        <v>0.81883099769523249</v>
      </c>
      <c r="R72" s="43">
        <f t="shared" si="15"/>
        <v>0.14676904753240996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="32" customFormat="1" ht="13.5">
      <c r="A73" s="185"/>
      <c r="B73" s="186" t="s">
        <v>143</v>
      </c>
      <c r="C73" s="187"/>
      <c r="D73" s="188"/>
      <c r="E73" s="189">
        <f>SUM(E74:E82)</f>
        <v>5779879.459999999</v>
      </c>
      <c r="F73" s="157">
        <f>SUM(F74:F82)</f>
        <v>29340136.41</v>
      </c>
      <c r="G73" s="157">
        <f>SUM(G74:G82)</f>
        <v>5769922.75</v>
      </c>
      <c r="H73" s="157">
        <f>SUM(H74:H82)</f>
        <v>1830427.6899999999</v>
      </c>
      <c r="I73" s="157">
        <f>SUM(I74:I82)</f>
        <v>5695253.5899999999</v>
      </c>
      <c r="J73" s="157">
        <f>SUM(J74:J82)</f>
        <v>1980781.4399999997</v>
      </c>
      <c r="K73" s="189">
        <f t="shared" si="16"/>
        <v>-84625.86999999918</v>
      </c>
      <c r="L73" s="189">
        <f t="shared" si="9"/>
        <v>-74669.160000000149</v>
      </c>
      <c r="M73" s="190">
        <f t="shared" si="17"/>
        <v>-23644882.82</v>
      </c>
      <c r="N73" s="189">
        <f t="shared" si="18"/>
        <v>150353.74999999977</v>
      </c>
      <c r="O73" s="191">
        <f t="shared" si="12"/>
        <v>0.98535854067794015</v>
      </c>
      <c r="P73" s="192">
        <f t="shared" si="13"/>
        <v>1.0821413218459341</v>
      </c>
      <c r="Q73" s="193">
        <f t="shared" si="14"/>
        <v>0.98705889779893496</v>
      </c>
      <c r="R73" s="194">
        <f t="shared" si="15"/>
        <v>0.1941113534856943</v>
      </c>
      <c r="S73" s="32"/>
      <c r="T73" s="32"/>
      <c r="U73" s="32"/>
      <c r="V73" s="32"/>
      <c r="W73" s="32"/>
      <c r="X73" s="32"/>
      <c r="Y73" s="32"/>
      <c r="Z73" s="32"/>
    </row>
    <row r="74" ht="13.5">
      <c r="A74" s="195"/>
      <c r="B74" s="196"/>
      <c r="C74" s="58" t="s">
        <v>144</v>
      </c>
      <c r="D74" s="197" t="s">
        <v>145</v>
      </c>
      <c r="E74" s="94">
        <v>191981.5</v>
      </c>
      <c r="F74" s="114">
        <v>599211.69999999995</v>
      </c>
      <c r="G74" s="94">
        <v>237727.29999999999</v>
      </c>
      <c r="H74" s="94">
        <v>0</v>
      </c>
      <c r="I74" s="94">
        <v>236970.5</v>
      </c>
      <c r="J74" s="94">
        <v>0</v>
      </c>
      <c r="K74" s="94">
        <f t="shared" si="16"/>
        <v>44989</v>
      </c>
      <c r="L74" s="94">
        <f t="shared" ref="L74:L83" si="19">I74-G74</f>
        <v>-756.79999999998836</v>
      </c>
      <c r="M74" s="94">
        <f t="shared" si="17"/>
        <v>-362241.19999999995</v>
      </c>
      <c r="N74" s="94">
        <f t="shared" si="18"/>
        <v>0</v>
      </c>
      <c r="O74" s="66">
        <f t="shared" ref="O74:O83" si="20">IFERROR(I74/E74,"")</f>
        <v>1.2343402879964998</v>
      </c>
      <c r="P74" s="66" t="str">
        <f t="shared" ref="P74:P83" si="21">IFERROR(J74/H74,"")</f>
        <v/>
      </c>
      <c r="Q74" s="66">
        <f t="shared" ref="Q74:Q83" si="22">IFERROR(I74/G74,"")</f>
        <v>0.99681652044169944</v>
      </c>
      <c r="R74" s="68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198"/>
      <c r="B75" s="199"/>
      <c r="C75" s="69" t="s">
        <v>146</v>
      </c>
      <c r="D75" s="200" t="s">
        <v>147</v>
      </c>
      <c r="E75" s="94">
        <v>608395.47999999998</v>
      </c>
      <c r="F75" s="114">
        <v>7878229.7599999998</v>
      </c>
      <c r="G75" s="94">
        <v>689661.69999999995</v>
      </c>
      <c r="H75" s="95">
        <v>206002.13</v>
      </c>
      <c r="I75" s="94">
        <v>689661.69999999995</v>
      </c>
      <c r="J75" s="94">
        <v>206002.13</v>
      </c>
      <c r="K75" s="94">
        <f t="shared" si="16"/>
        <v>81266.219999999972</v>
      </c>
      <c r="L75" s="94">
        <f t="shared" si="19"/>
        <v>0</v>
      </c>
      <c r="M75" s="94">
        <f t="shared" si="17"/>
        <v>-7188568.0599999996</v>
      </c>
      <c r="N75" s="94">
        <f t="shared" si="18"/>
        <v>0</v>
      </c>
      <c r="O75" s="66">
        <f t="shared" si="20"/>
        <v>1.1335746610083297</v>
      </c>
      <c r="P75" s="66">
        <f t="shared" si="21"/>
        <v>1</v>
      </c>
      <c r="Q75" s="66">
        <f t="shared" si="22"/>
        <v>1</v>
      </c>
      <c r="R75" s="68">
        <f t="shared" si="23"/>
        <v>0.087540186185176699</v>
      </c>
      <c r="S75" s="1"/>
      <c r="T75" s="1"/>
      <c r="U75" s="1"/>
      <c r="V75" s="1"/>
      <c r="W75" s="1"/>
      <c r="X75" s="1"/>
      <c r="Y75" s="1"/>
      <c r="Z75" s="1"/>
    </row>
    <row r="76" ht="13.5">
      <c r="A76" s="198"/>
      <c r="B76" s="199"/>
      <c r="C76" s="58" t="s">
        <v>148</v>
      </c>
      <c r="D76" s="197" t="s">
        <v>149</v>
      </c>
      <c r="E76" s="94">
        <v>3508957.8799999999</v>
      </c>
      <c r="F76" s="114">
        <v>17821589.800000001</v>
      </c>
      <c r="G76" s="49">
        <v>3559791.0900000003</v>
      </c>
      <c r="H76" s="94">
        <v>1438017.73</v>
      </c>
      <c r="I76" s="95">
        <v>3559791.0900000003</v>
      </c>
      <c r="J76" s="94">
        <v>1438017.73</v>
      </c>
      <c r="K76" s="94">
        <f t="shared" si="16"/>
        <v>50833.210000000428</v>
      </c>
      <c r="L76" s="94">
        <f t="shared" si="19"/>
        <v>0</v>
      </c>
      <c r="M76" s="94">
        <f t="shared" si="17"/>
        <v>-14261798.710000001</v>
      </c>
      <c r="N76" s="94">
        <f t="shared" si="18"/>
        <v>0</v>
      </c>
      <c r="O76" s="66">
        <f t="shared" si="20"/>
        <v>1.014486697115897</v>
      </c>
      <c r="P76" s="66">
        <f t="shared" si="21"/>
        <v>1</v>
      </c>
      <c r="Q76" s="66">
        <f t="shared" si="22"/>
        <v>1</v>
      </c>
      <c r="R76" s="68">
        <f t="shared" si="23"/>
        <v>0.19974598955251457</v>
      </c>
      <c r="S76" s="1"/>
      <c r="T76" s="1"/>
      <c r="U76" s="1"/>
      <c r="V76" s="1"/>
      <c r="W76" s="1"/>
      <c r="X76" s="1"/>
      <c r="Y76" s="1"/>
      <c r="Z76" s="1"/>
    </row>
    <row r="77" ht="13.5">
      <c r="A77" s="198"/>
      <c r="B77" s="199"/>
      <c r="C77" s="69" t="s">
        <v>150</v>
      </c>
      <c r="D77" s="201" t="s">
        <v>151</v>
      </c>
      <c r="E77" s="94">
        <v>1323209.1699999999</v>
      </c>
      <c r="F77" s="114">
        <v>3035072.5499999998</v>
      </c>
      <c r="G77" s="94">
        <v>1276710.0600000001</v>
      </c>
      <c r="H77" s="164">
        <v>180375.22999999998</v>
      </c>
      <c r="I77" s="94">
        <v>1276710.0600000001</v>
      </c>
      <c r="J77" s="95">
        <v>180375.22999999998</v>
      </c>
      <c r="K77" s="94">
        <f t="shared" si="16"/>
        <v>-46499.10999999987</v>
      </c>
      <c r="L77" s="94">
        <f t="shared" si="19"/>
        <v>0</v>
      </c>
      <c r="M77" s="94">
        <f t="shared" si="17"/>
        <v>-1758362.4899999998</v>
      </c>
      <c r="N77" s="94">
        <f t="shared" si="18"/>
        <v>0</v>
      </c>
      <c r="O77" s="66">
        <f t="shared" si="20"/>
        <v>0.96485883633953362</v>
      </c>
      <c r="P77" s="66">
        <f t="shared" si="21"/>
        <v>1</v>
      </c>
      <c r="Q77" s="66">
        <f t="shared" si="22"/>
        <v>1</v>
      </c>
      <c r="R77" s="68">
        <f t="shared" si="23"/>
        <v>0.42065223778588096</v>
      </c>
      <c r="S77" s="1"/>
      <c r="T77" s="1"/>
      <c r="U77" s="1"/>
      <c r="V77" s="1"/>
      <c r="W77" s="1"/>
      <c r="X77" s="1"/>
      <c r="Y77" s="1"/>
      <c r="Z77" s="1"/>
    </row>
    <row r="78" ht="13.5">
      <c r="A78" s="198"/>
      <c r="B78" s="199"/>
      <c r="C78" s="58" t="s">
        <v>152</v>
      </c>
      <c r="D78" s="201" t="s">
        <v>153</v>
      </c>
      <c r="E78" s="94">
        <v>6493.3100000000004</v>
      </c>
      <c r="F78" s="202">
        <v>0</v>
      </c>
      <c r="G78" s="95">
        <v>0</v>
      </c>
      <c r="H78" s="94">
        <v>0</v>
      </c>
      <c r="I78" s="94">
        <v>0</v>
      </c>
      <c r="J78" s="94">
        <v>0</v>
      </c>
      <c r="K78" s="94">
        <f t="shared" si="16"/>
        <v>-6493.3100000000004</v>
      </c>
      <c r="L78" s="94">
        <f t="shared" si="19"/>
        <v>0</v>
      </c>
      <c r="M78" s="94">
        <f t="shared" si="17"/>
        <v>0</v>
      </c>
      <c r="N78" s="94">
        <f t="shared" si="18"/>
        <v>0</v>
      </c>
      <c r="O78" s="66">
        <f t="shared" si="20"/>
        <v>0</v>
      </c>
      <c r="P78" s="66" t="str">
        <f t="shared" si="21"/>
        <v/>
      </c>
      <c r="Q78" s="66" t="str">
        <f t="shared" si="22"/>
        <v/>
      </c>
      <c r="R78" s="68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198"/>
      <c r="B79" s="199"/>
      <c r="C79" s="58" t="s">
        <v>154</v>
      </c>
      <c r="D79" s="201" t="s">
        <v>155</v>
      </c>
      <c r="E79" s="94">
        <v>31816.950000000001</v>
      </c>
      <c r="F79" s="202">
        <v>0</v>
      </c>
      <c r="G79" s="94">
        <v>0</v>
      </c>
      <c r="H79" s="94">
        <v>0</v>
      </c>
      <c r="I79" s="94">
        <v>0</v>
      </c>
      <c r="J79" s="94">
        <v>0</v>
      </c>
      <c r="K79" s="94">
        <f t="shared" si="16"/>
        <v>-31816.950000000001</v>
      </c>
      <c r="L79" s="94">
        <f t="shared" si="19"/>
        <v>0</v>
      </c>
      <c r="M79" s="94">
        <f t="shared" si="17"/>
        <v>0</v>
      </c>
      <c r="N79" s="94">
        <f t="shared" si="18"/>
        <v>0</v>
      </c>
      <c r="O79" s="66">
        <f t="shared" si="20"/>
        <v>0</v>
      </c>
      <c r="P79" s="66" t="str">
        <f t="shared" si="21"/>
        <v/>
      </c>
      <c r="Q79" s="66" t="str">
        <f t="shared" si="22"/>
        <v/>
      </c>
      <c r="R79" s="68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03"/>
      <c r="B80" s="199"/>
      <c r="C80" s="58" t="s">
        <v>156</v>
      </c>
      <c r="D80" s="204" t="s">
        <v>157</v>
      </c>
      <c r="E80" s="60">
        <v>-212.78999999999999</v>
      </c>
      <c r="F80" s="202">
        <v>0</v>
      </c>
      <c r="G80" s="95">
        <v>0</v>
      </c>
      <c r="H80" s="94">
        <v>0</v>
      </c>
      <c r="I80" s="60">
        <v>0</v>
      </c>
      <c r="J80" s="60">
        <v>0</v>
      </c>
      <c r="K80" s="94">
        <f t="shared" si="16"/>
        <v>212.78999999999999</v>
      </c>
      <c r="L80" s="94">
        <f t="shared" si="19"/>
        <v>0</v>
      </c>
      <c r="M80" s="94">
        <f t="shared" si="17"/>
        <v>0</v>
      </c>
      <c r="N80" s="94">
        <f t="shared" si="18"/>
        <v>0</v>
      </c>
      <c r="O80" s="66">
        <f t="shared" si="20"/>
        <v>0</v>
      </c>
      <c r="P80" s="66" t="str">
        <f t="shared" si="21"/>
        <v/>
      </c>
      <c r="Q80" s="66" t="str">
        <f t="shared" si="22"/>
        <v/>
      </c>
      <c r="R80" s="68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198"/>
      <c r="B81" s="199"/>
      <c r="C81" s="205" t="s">
        <v>158</v>
      </c>
      <c r="D81" s="118" t="s">
        <v>159</v>
      </c>
      <c r="E81" s="94">
        <v>170850.89999999999</v>
      </c>
      <c r="F81" s="202">
        <v>6032.6000000000004</v>
      </c>
      <c r="G81" s="202">
        <v>6032.6000000000004</v>
      </c>
      <c r="H81" s="202">
        <v>6032.6000000000004</v>
      </c>
      <c r="I81" s="94">
        <v>116675.63</v>
      </c>
      <c r="J81" s="94">
        <v>-100816.83</v>
      </c>
      <c r="K81" s="94">
        <f t="shared" si="16"/>
        <v>-54175.26999999999</v>
      </c>
      <c r="L81" s="94">
        <f t="shared" si="19"/>
        <v>110643.03</v>
      </c>
      <c r="M81" s="94">
        <f t="shared" si="17"/>
        <v>110643.03</v>
      </c>
      <c r="N81" s="94">
        <f t="shared" si="18"/>
        <v>-106849.43000000001</v>
      </c>
      <c r="O81" s="66">
        <f t="shared" si="20"/>
        <v>0.68290907452053229</v>
      </c>
      <c r="P81" s="66">
        <f t="shared" si="21"/>
        <v>-16.712003116400886</v>
      </c>
      <c r="Q81" s="66">
        <f t="shared" si="22"/>
        <v>19.340853031860227</v>
      </c>
      <c r="R81" s="68">
        <f t="shared" si="23"/>
        <v>19.340853031860227</v>
      </c>
      <c r="S81" s="1"/>
      <c r="T81" s="1"/>
      <c r="U81" s="1"/>
      <c r="V81" s="1"/>
      <c r="W81" s="1"/>
      <c r="X81" s="1"/>
      <c r="Y81" s="1"/>
      <c r="Z81" s="1"/>
    </row>
    <row r="82" ht="13.5">
      <c r="A82" s="198"/>
      <c r="B82" s="196"/>
      <c r="C82" s="206" t="s">
        <v>160</v>
      </c>
      <c r="D82" s="207" t="s">
        <v>161</v>
      </c>
      <c r="E82" s="208">
        <v>-61612.940000000002</v>
      </c>
      <c r="F82" s="209">
        <v>0</v>
      </c>
      <c r="G82" s="164">
        <v>0</v>
      </c>
      <c r="H82" s="164">
        <v>0</v>
      </c>
      <c r="I82" s="164">
        <v>-184555.38999999998</v>
      </c>
      <c r="J82" s="164">
        <v>257203.18000000002</v>
      </c>
      <c r="K82" s="164">
        <f t="shared" si="16"/>
        <v>-122942.44999999998</v>
      </c>
      <c r="L82" s="164">
        <f t="shared" si="19"/>
        <v>-184555.38999999998</v>
      </c>
      <c r="M82" s="164">
        <f t="shared" si="17"/>
        <v>-184555.38999999998</v>
      </c>
      <c r="N82" s="95">
        <f t="shared" si="18"/>
        <v>257203.18000000002</v>
      </c>
      <c r="O82" s="77">
        <f t="shared" si="20"/>
        <v>2.9953998299707818</v>
      </c>
      <c r="P82" s="65" t="str">
        <f t="shared" si="21"/>
        <v/>
      </c>
      <c r="Q82" s="77" t="str">
        <f t="shared" si="22"/>
        <v/>
      </c>
      <c r="R82" s="78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2" customFormat="1" ht="13.5">
      <c r="A83" s="210"/>
      <c r="B83" s="182" t="s">
        <v>162</v>
      </c>
      <c r="C83" s="183"/>
      <c r="D83" s="184"/>
      <c r="E83" s="83">
        <f>E72+E73</f>
        <v>10504311.619999997</v>
      </c>
      <c r="F83" s="83">
        <f>F72+F73</f>
        <v>66246171.920000002</v>
      </c>
      <c r="G83" s="83">
        <f>G72+G73</f>
        <v>12385040.76</v>
      </c>
      <c r="H83" s="83">
        <f>H72+H73</f>
        <v>4633189.5999999996</v>
      </c>
      <c r="I83" s="83">
        <f>I72+I73</f>
        <v>11111917.27</v>
      </c>
      <c r="J83" s="83">
        <f>J72+J73</f>
        <v>3807688.0899999999</v>
      </c>
      <c r="K83" s="83">
        <f t="shared" si="16"/>
        <v>607605.65000000224</v>
      </c>
      <c r="L83" s="83">
        <f t="shared" si="19"/>
        <v>-1273123.4900000002</v>
      </c>
      <c r="M83" s="83">
        <f t="shared" si="17"/>
        <v>-55134254.650000006</v>
      </c>
      <c r="N83" s="83">
        <f t="shared" si="18"/>
        <v>-825501.50999999978</v>
      </c>
      <c r="O83" s="41">
        <f t="shared" si="20"/>
        <v>1.0578434524774696</v>
      </c>
      <c r="P83" s="41">
        <f t="shared" si="21"/>
        <v>0.82182867931845482</v>
      </c>
      <c r="Q83" s="41">
        <f t="shared" si="22"/>
        <v>0.89720473959909675</v>
      </c>
      <c r="R83" s="43">
        <f t="shared" si="23"/>
        <v>0.16773674535366268</v>
      </c>
      <c r="S83" s="32"/>
      <c r="T83" s="32"/>
      <c r="U83" s="32"/>
      <c r="V83" s="32"/>
      <c r="W83" s="32"/>
      <c r="X83" s="32"/>
      <c r="Y83" s="32"/>
      <c r="Z83" s="32"/>
    </row>
    <row r="84" ht="13.5">
      <c r="A84" s="211"/>
      <c r="B84" s="212" t="s">
        <v>163</v>
      </c>
      <c r="C84" s="3"/>
      <c r="D84" s="213"/>
      <c r="E84" s="214"/>
      <c r="F84" s="214"/>
      <c r="G84" s="214"/>
      <c r="H84" s="214"/>
      <c r="I84" s="215"/>
      <c r="J84" s="215"/>
      <c r="K84" s="215"/>
      <c r="L84" s="215"/>
      <c r="M84" s="214"/>
      <c r="N84" s="214"/>
      <c r="O84" s="214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5"/>
      <c r="J86" s="5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5"/>
      <c r="J87" s="5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5"/>
      <c r="J88" s="5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5"/>
      <c r="J89" s="5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5"/>
      <c r="J90" s="5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5"/>
      <c r="J91" s="5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5"/>
      <c r="S93" s="1"/>
      <c r="T93" s="1"/>
      <c r="U93" s="1"/>
      <c r="V93" s="1"/>
      <c r="W93" s="1"/>
      <c r="X93" s="1"/>
      <c r="Y93" s="1"/>
      <c r="Z93" s="1"/>
    </row>
    <row r="94" ht="12.75">
      <c r="I94" s="5"/>
      <c r="U94" s="1"/>
      <c r="V94" s="1"/>
    </row>
    <row r="95" ht="12.75">
      <c r="I95" s="5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261</cp:revision>
  <dcterms:created xsi:type="dcterms:W3CDTF">2015-02-26T11:08:47Z</dcterms:created>
  <dcterms:modified xsi:type="dcterms:W3CDTF">2026-03-23T06:13:57Z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