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30.03." sheetId="1" state="visible" r:id="rId1"/>
  </sheets>
  <definedNames>
    <definedName name="_xlnm._FilterDatabase" localSheetId="0" hidden="1">'на 30.03.'!$A$4:$R$84</definedName>
    <definedName name="_xlnm.Print_Area" localSheetId="0" hidden="0">'на 30.03.'!$A$1:$R$84</definedName>
    <definedName name="Print_Titles" localSheetId="0" hidden="0">'на 30.03.'!$3:$4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30.03.'!$A$4:$R$84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<sst xmlns="http://schemas.openxmlformats.org/spreadsheetml/2006/main" count="164" uniqueCount="164">
  <si>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</si>
  <si>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</si>
  <si>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</si>
  <si>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</si>
  <si>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</si>
  <si>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</si>
  <si>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27.03.2025 вкл.)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</si>
  <si>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</si>
  <si>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</si>
  <si>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</si>
  <si>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</si>
  <si>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</si>
  <si>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</si>
  <si>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</si>
  <si>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</si>
  <si>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март</t>
  </si>
  <si>
    <t>март</t>
  </si>
  <si>
    <t xml:space="preserve">с нач. года на 30.03.2026 (по 27.03.2026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</si>
  <si>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</si>
  <si>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</si>
  <si>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</si>
  <si>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март от плана марта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</si>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</sst>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1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color indexed="2"/>
      <name val="Times New Roman"/>
    </font>
    <font>
      <b/>
      <sz val="16.000000"/>
      <name val="Times New Roman"/>
    </font>
    <font>
      <b/>
      <sz val="7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54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3" borderId="0" numFmtId="0" xfId="0" applyFont="1" applyFill="1" applyAlignment="1">
      <alignment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8" fillId="3" borderId="0" numFmtId="0" xfId="0" applyFont="1" applyFill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9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3" numFmtId="164" xfId="105" applyNumberFormat="1" applyFont="1" applyBorder="1" applyAlignment="1" applyProtection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3" borderId="3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3" numFmtId="163" xfId="0" applyNumberFormat="1" applyFont="1" applyFill="1" applyBorder="1" applyAlignment="1">
      <alignment horizontal="center" vertical="center" wrapText="1"/>
    </xf>
    <xf fontId="11" fillId="3" borderId="3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3" fillId="0" borderId="0" numFmtId="0" xfId="0" applyFont="1" applyAlignment="1">
      <alignment vertical="center"/>
    </xf>
    <xf fontId="13" fillId="0" borderId="7" numFmtId="49" xfId="0" applyNumberFormat="1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left" vertical="center"/>
    </xf>
    <xf fontId="13" fillId="0" borderId="10" numFmtId="0" xfId="0" applyFont="1" applyBorder="1" applyAlignment="1">
      <alignment horizontal="center" vertical="center" wrapText="1"/>
    </xf>
    <xf fontId="13" fillId="0" borderId="10" numFmtId="162" xfId="0" applyNumberFormat="1" applyFont="1" applyBorder="1" applyAlignment="1">
      <alignment vertical="center" wrapText="1"/>
    </xf>
    <xf fontId="13" fillId="0" borderId="11" numFmtId="162" xfId="0" applyNumberFormat="1" applyFont="1" applyBorder="1" applyAlignment="1">
      <alignment vertical="center" wrapText="1"/>
    </xf>
    <xf fontId="13" fillId="3" borderId="11" numFmtId="162" xfId="0" applyNumberFormat="1" applyFont="1" applyFill="1" applyBorder="1" applyAlignment="1">
      <alignment vertical="center" wrapText="1"/>
    </xf>
    <xf fontId="13" fillId="0" borderId="9" numFmtId="162" xfId="0" applyNumberFormat="1" applyFont="1" applyBorder="1" applyAlignment="1">
      <alignment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3" fillId="0" borderId="11" numFmtId="164" xfId="0" applyNumberFormat="1" applyFont="1" applyBorder="1" applyAlignment="1">
      <alignment horizontal="right" vertical="center" wrapText="1"/>
    </xf>
    <xf fontId="13" fillId="0" borderId="10" numFmtId="164" xfId="0" applyNumberFormat="1" applyFont="1" applyBorder="1" applyAlignment="1">
      <alignment horizontal="right" vertical="center" wrapText="1"/>
    </xf>
    <xf fontId="13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/>
    </xf>
    <xf fontId="5" fillId="0" borderId="21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3" borderId="5" numFmtId="162" xfId="0" applyNumberFormat="1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0" borderId="0" numFmtId="162" xfId="0" applyNumberFormat="1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3" fillId="0" borderId="8" numFmtId="165" xfId="0" applyNumberFormat="1" applyFont="1" applyBorder="1" applyAlignment="1">
      <alignment horizontal="center" vertical="center" wrapText="1"/>
    </xf>
    <xf fontId="13" fillId="0" borderId="9" numFmtId="165" xfId="0" applyNumberFormat="1" applyFont="1" applyBorder="1" applyAlignment="1">
      <alignment horizontal="center" vertical="center" wrapText="1"/>
    </xf>
    <xf fontId="9" fillId="0" borderId="9" numFmtId="165" xfId="0" applyNumberFormat="1" applyFont="1" applyBorder="1" applyAlignment="1">
      <alignment horizontal="left" vertical="center"/>
    </xf>
    <xf fontId="13" fillId="0" borderId="10" numFmtId="165" xfId="0" applyNumberFormat="1" applyFont="1" applyBorder="1" applyAlignment="1">
      <alignment horizontal="center" vertical="center" wrapText="1"/>
    </xf>
    <xf fontId="13" fillId="3" borderId="11" numFmtId="162" xfId="0" applyNumberFormat="1" applyFont="1" applyFill="1" applyBorder="1" applyAlignment="1">
      <alignment horizontal="right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0" borderId="9" numFmtId="162" xfId="0" applyNumberFormat="1" applyFont="1" applyBorder="1" applyAlignment="1">
      <alignment horizontal="right" vertical="center" wrapText="1"/>
    </xf>
    <xf fontId="13" fillId="0" borderId="11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5" fillId="3" borderId="5" numFmtId="162" xfId="0" applyNumberFormat="1" applyFont="1" applyFill="1" applyBorder="1" applyAlignment="1">
      <alignment horizontal="right" vertical="center" wrapText="1"/>
    </xf>
    <xf fontId="14" fillId="0" borderId="0" numFmtId="0" xfId="0" applyFont="1" applyAlignment="1">
      <alignment vertical="center"/>
    </xf>
    <xf fontId="14" fillId="0" borderId="32" numFmtId="49" xfId="0" applyNumberFormat="1" applyFont="1" applyBorder="1" applyAlignment="1">
      <alignment horizontal="center" vertical="center" wrapText="1"/>
    </xf>
    <xf fontId="14" fillId="0" borderId="33" numFmtId="0" xfId="0" applyFont="1" applyBorder="1" applyAlignment="1">
      <alignment horizontal="center" vertical="center" wrapText="1"/>
    </xf>
    <xf fontId="15" fillId="0" borderId="34" numFmtId="49" xfId="0" applyNumberFormat="1" applyFont="1" applyBorder="1" applyAlignment="1">
      <alignment horizontal="left" vertical="center"/>
    </xf>
    <xf fontId="14" fillId="0" borderId="35" numFmtId="0" xfId="0" applyFont="1" applyBorder="1" applyAlignment="1">
      <alignment vertical="center" wrapText="1"/>
    </xf>
    <xf fontId="14" fillId="0" borderId="34" numFmtId="162" xfId="0" applyNumberFormat="1" applyFont="1" applyBorder="1" applyAlignment="1">
      <alignment horizontal="right" vertical="center" wrapText="1"/>
    </xf>
    <xf fontId="14" fillId="3" borderId="34" numFmtId="162" xfId="0" applyNumberFormat="1" applyFont="1" applyFill="1" applyBorder="1" applyAlignment="1">
      <alignment horizontal="right"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0" borderId="34" numFmtId="164" xfId="0" applyNumberFormat="1" applyFont="1" applyBorder="1" applyAlignment="1">
      <alignment horizontal="right" vertical="center" wrapText="1"/>
    </xf>
    <xf fontId="14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8" numFmtId="0" xfId="0" applyFont="1" applyBorder="1" applyAlignment="1">
      <alignment horizontal="lef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31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/>
    </xf>
    <xf fontId="5" fillId="0" borderId="6" numFmtId="162" xfId="0" applyNumberFormat="1" applyFont="1" applyBorder="1" applyAlignment="1">
      <alignment horizontal="righ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/>
    </xf>
    <xf fontId="16" fillId="0" borderId="4" numFmtId="165" xfId="0" applyNumberFormat="1" applyFont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14" fillId="0" borderId="37" numFmtId="0" xfId="0" applyFont="1" applyBorder="1" applyAlignment="1">
      <alignment horizontal="center" vertical="center" wrapText="1"/>
    </xf>
    <xf fontId="15" fillId="0" borderId="35" numFmtId="49" xfId="0" applyNumberFormat="1" applyFont="1" applyBorder="1" applyAlignment="1">
      <alignment horizontal="left" vertical="center"/>
    </xf>
    <xf fontId="14" fillId="0" borderId="34" numFmtId="0" xfId="0" applyFont="1" applyBorder="1" applyAlignment="1">
      <alignment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39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0" borderId="21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17" fillId="0" borderId="0" numFmtId="0" xfId="0" applyFont="1" applyAlignment="1">
      <alignment vertical="center"/>
    </xf>
    <xf fontId="14" fillId="0" borderId="29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5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3" borderId="5" numFmtId="162" xfId="0" applyNumberFormat="1" applyFont="1" applyFill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3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5" fillId="0" borderId="21" numFmtId="0" xfId="0" applyFont="1" applyBorder="1" applyAlignment="1">
      <alignment horizontal="left" vertical="center"/>
    </xf>
    <xf fontId="17" fillId="0" borderId="21" numFmtId="0" xfId="0" applyFont="1" applyBorder="1" applyAlignment="1">
      <alignment horizontal="lef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4" fillId="0" borderId="33" numFmtId="49" xfId="0" applyNumberFormat="1" applyFont="1" applyBorder="1" applyAlignment="1">
      <alignment horizontal="center" vertical="center" wrapText="1"/>
    </xf>
    <xf fontId="5" fillId="0" borderId="4" numFmtId="165" xfId="0" applyNumberFormat="1" applyFont="1" applyBorder="1" applyAlignment="1">
      <alignment vertical="center" wrapText="1"/>
    </xf>
    <xf fontId="14" fillId="0" borderId="34" numFmtId="162" xfId="0" applyNumberFormat="1" applyFont="1" applyBorder="1" applyAlignment="1">
      <alignment vertical="center" wrapText="1"/>
    </xf>
    <xf fontId="14" fillId="3" borderId="34" numFmtId="162" xfId="0" applyNumberFormat="1" applyFont="1" applyFill="1" applyBorder="1" applyAlignment="1">
      <alignment vertical="center" wrapText="1"/>
    </xf>
    <xf fontId="14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vertical="center" wrapText="1"/>
    </xf>
    <xf fontId="6" fillId="0" borderId="40" numFmtId="0" xfId="0" applyFont="1" applyBorder="1" applyAlignment="1">
      <alignment horizontal="center" vertical="center" wrapText="1"/>
    </xf>
    <xf fontId="19" fillId="0" borderId="21" numFmtId="165" xfId="0" applyNumberFormat="1" applyFont="1" applyBorder="1" applyAlignment="1">
      <alignment horizontal="right" vertical="center" wrapText="1"/>
    </xf>
    <xf fontId="13" fillId="0" borderId="21" numFmtId="162" xfId="0" applyNumberFormat="1" applyFont="1" applyBorder="1" applyAlignment="1">
      <alignment horizontal="right" vertical="center" wrapText="1"/>
    </xf>
    <xf fontId="13" fillId="0" borderId="18" numFmtId="162" xfId="0" applyNumberFormat="1" applyFont="1" applyBorder="1" applyAlignment="1">
      <alignment horizontal="right" vertical="center" wrapText="1"/>
    </xf>
    <xf fontId="13" fillId="3" borderId="18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0" borderId="21" numFmtId="4" xfId="0" applyNumberFormat="1" applyFont="1" applyBorder="1" applyAlignment="1">
      <alignment horizontal="right" vertical="center" wrapText="1"/>
    </xf>
    <xf fontId="13" fillId="0" borderId="21" numFmtId="164" xfId="0" applyNumberFormat="1" applyFont="1" applyBorder="1" applyAlignment="1">
      <alignment horizontal="right" vertical="center" wrapText="1"/>
    </xf>
    <xf fontId="13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41" numFmtId="165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5" fillId="0" borderId="42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/>
    </xf>
    <xf fontId="5" fillId="3" borderId="17" numFmtId="162" xfId="0" applyNumberFormat="1" applyFont="1" applyFill="1" applyBorder="1" applyAlignment="1">
      <alignment horizontal="right" vertical="center" wrapText="1"/>
    </xf>
    <xf fontId="5" fillId="0" borderId="18" numFmtId="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3" numFmtId="164" xfId="0" applyNumberFormat="1" applyFont="1" applyBorder="1" applyAlignment="1">
      <alignment horizontal="right" vertical="center" wrapText="1"/>
    </xf>
    <xf fontId="18" fillId="0" borderId="44" numFmtId="0" xfId="0" applyFont="1" applyBorder="1" applyAlignment="1">
      <alignment horizontal="center" vertical="center" wrapText="1"/>
    </xf>
    <xf fontId="5" fillId="3" borderId="45" numFmtId="162" xfId="0" applyNumberFormat="1" applyFont="1" applyFill="1" applyBorder="1" applyAlignment="1">
      <alignment horizontal="right" vertical="center" wrapText="1"/>
    </xf>
    <xf fontId="14" fillId="0" borderId="32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horizontal="lef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0" borderId="24" numFmtId="164" xfId="0" applyNumberFormat="1" applyFont="1" applyBorder="1" applyAlignment="1">
      <alignment horizontal="right" vertical="center" wrapText="1"/>
    </xf>
    <xf fontId="10" fillId="0" borderId="0" numFmtId="164" xfId="0" applyNumberFormat="1" applyFont="1" applyAlignment="1">
      <alignment horizontal="right" vertical="center" wrapText="1"/>
    </xf>
    <xf fontId="10" fillId="0" borderId="21" numFmtId="164" xfId="0" applyNumberFormat="1" applyFont="1" applyBorder="1" applyAlignment="1">
      <alignment horizontal="right" vertical="center" wrapText="1"/>
    </xf>
    <xf fontId="14" fillId="3" borderId="3" numFmtId="162" xfId="0" applyNumberFormat="1" applyFont="1" applyFill="1" applyBorder="1" applyAlignment="1">
      <alignment horizontal="right" vertical="center" wrapText="1"/>
    </xf>
    <xf fontId="13" fillId="0" borderId="32" numFmtId="0" xfId="0" applyFont="1" applyBorder="1" applyAlignment="1">
      <alignment vertical="center"/>
    </xf>
    <xf fontId="13" fillId="0" borderId="8" numFmtId="167" xfId="0" applyNumberFormat="1" applyFont="1" applyBorder="1" applyAlignment="1">
      <alignment horizontal="center" vertical="center" wrapText="1"/>
    </xf>
    <xf fontId="9" fillId="0" borderId="9" numFmtId="167" xfId="0" applyNumberFormat="1" applyFont="1" applyBorder="1" applyAlignment="1">
      <alignment horizontal="left" vertical="center"/>
    </xf>
    <xf fontId="13" fillId="0" borderId="10" numFmtId="167" xfId="0" applyNumberFormat="1" applyFont="1" applyBorder="1" applyAlignment="1">
      <alignment horizontal="center" vertical="center" wrapText="1"/>
    </xf>
    <xf fontId="13" fillId="0" borderId="32" numFmtId="49" xfId="0" applyNumberFormat="1" applyFont="1" applyBorder="1" applyAlignment="1">
      <alignment vertical="center" wrapText="1"/>
    </xf>
    <xf fontId="13" fillId="0" borderId="46" numFmtId="165" xfId="0" applyNumberFormat="1" applyFont="1" applyBorder="1" applyAlignment="1">
      <alignment horizontal="center" vertical="center" wrapText="1"/>
    </xf>
    <xf fontId="9" fillId="0" borderId="47" numFmtId="165" xfId="0" applyNumberFormat="1" applyFont="1" applyBorder="1" applyAlignment="1">
      <alignment horizontal="left" vertical="center"/>
    </xf>
    <xf fontId="13" fillId="0" borderId="30" numFmtId="165" xfId="0" applyNumberFormat="1" applyFont="1" applyBorder="1" applyAlignment="1">
      <alignment horizontal="center" vertical="center" wrapText="1"/>
    </xf>
    <xf fontId="13" fillId="0" borderId="14" numFmtId="162" xfId="0" applyNumberFormat="1" applyFont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14" numFmtId="164" xfId="0" applyNumberFormat="1" applyFont="1" applyBorder="1" applyAlignment="1">
      <alignment horizontal="right" vertical="center" wrapText="1"/>
    </xf>
    <xf fontId="13" fillId="0" borderId="23" numFmtId="164" xfId="0" applyNumberFormat="1" applyFont="1" applyBorder="1" applyAlignment="1">
      <alignment horizontal="right" vertical="center" wrapText="1"/>
    </xf>
    <xf fontId="13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2" fillId="0" borderId="25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2" fillId="0" borderId="20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5" fillId="3" borderId="50" numFmtId="162" xfId="0" applyNumberFormat="1" applyFont="1" applyFill="1" applyBorder="1" applyAlignment="1">
      <alignment horizontal="right" vertical="center" wrapText="1"/>
    </xf>
    <xf fontId="16" fillId="0" borderId="4" numFmtId="0" xfId="0" applyFont="1" applyBorder="1" applyAlignment="1">
      <alignment horizontal="lef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20" fillId="0" borderId="6" numFmtId="162" xfId="0" applyNumberFormat="1" applyFont="1" applyBorder="1" applyAlignment="1">
      <alignment horizontal="right" vertical="center" wrapText="1"/>
    </xf>
    <xf fontId="13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17" numFmtId="49" xfId="0" applyNumberFormat="1" applyFont="1" applyBorder="1" applyAlignment="1">
      <alignment horizontal="left" vertical="center"/>
    </xf>
    <xf fontId="7" fillId="0" borderId="23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5" fillId="0" borderId="34" numFmtId="162" xfId="0" applyNumberFormat="1" applyFont="1" applyBorder="1" applyAlignment="1">
      <alignment horizontal="right" vertical="center" wrapText="1"/>
    </xf>
    <xf fontId="20" fillId="0" borderId="50" numFmtId="162" xfId="0" applyNumberFormat="1" applyFont="1" applyBorder="1" applyAlignment="1">
      <alignment horizontal="right" vertical="center" wrapText="1"/>
    </xf>
    <xf fontId="13" fillId="0" borderId="51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1" width="8.28515625"/>
    <col customWidth="1" min="2" max="2" style="2" width="11.140625"/>
    <col customWidth="1" hidden="1" min="3" max="3" style="3" width="13.8515625"/>
    <col customWidth="1" min="4" max="4" style="1" width="74.140625"/>
    <col customWidth="1" min="5" max="5" style="4" width="15.7109375"/>
    <col customWidth="1" min="6" max="6" style="1" width="16.140625"/>
    <col customWidth="1" min="7" max="7" style="5" width="15.8515625"/>
    <col customWidth="1" min="8" max="8" style="6" width="14.8515625"/>
    <col customWidth="1" min="9" max="9" style="7" width="16.28125"/>
    <col customWidth="1" min="10" max="10" style="7" width="15.28515625"/>
    <col customWidth="1" min="11" max="11" style="7" width="14.421875"/>
    <col customWidth="1" min="12" max="12" style="7" width="15.7109375"/>
    <col customWidth="1" min="13" max="13" style="1" width="16.57421875"/>
    <col customWidth="1" min="14" max="14" style="1" width="14.851562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9" style="1" width="9.140625"/>
    <col min="30" max="16384" style="1" width="9.140625"/>
  </cols>
  <sheetData>
    <row r="1" ht="17.25">
      <c r="A1" s="8" t="s">
        <v>0</v>
      </c>
      <c r="B1" s="8"/>
      <c r="C1" s="9"/>
      <c r="D1" s="8"/>
      <c r="E1" s="8"/>
      <c r="F1" s="8"/>
      <c r="G1" s="10"/>
      <c r="H1" s="10"/>
      <c r="I1" s="10"/>
      <c r="J1" s="10"/>
      <c r="K1" s="10"/>
      <c r="L1" s="10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1"/>
      <c r="B2" s="12"/>
      <c r="C2" s="3"/>
      <c r="D2" s="13"/>
      <c r="E2" s="14"/>
      <c r="F2" s="13"/>
      <c r="G2" s="15"/>
      <c r="H2" s="16"/>
      <c r="I2" s="17"/>
      <c r="J2" s="17"/>
      <c r="K2" s="17"/>
      <c r="L2" s="17"/>
      <c r="M2" s="13"/>
      <c r="N2" s="13"/>
      <c r="O2" s="13"/>
      <c r="P2" s="18"/>
      <c r="Q2" s="18"/>
      <c r="R2" s="19" t="s">
        <v>1</v>
      </c>
      <c r="S2" s="1"/>
      <c r="T2" s="1"/>
      <c r="U2" s="1"/>
      <c r="V2" s="1"/>
      <c r="W2" s="1"/>
      <c r="X2" s="1"/>
      <c r="Y2" s="1"/>
      <c r="Z2" s="1"/>
    </row>
    <row r="3" s="20" customFormat="1" ht="18.75" customHeight="1">
      <c r="A3" s="21" t="s">
        <v>2</v>
      </c>
      <c r="B3" s="22" t="s">
        <v>3</v>
      </c>
      <c r="C3" s="23" t="s">
        <v>4</v>
      </c>
      <c r="D3" s="24" t="s">
        <v>5</v>
      </c>
      <c r="E3" s="25" t="s">
        <v>6</v>
      </c>
      <c r="F3" s="26" t="s">
        <v>7</v>
      </c>
      <c r="G3" s="27"/>
      <c r="H3" s="28"/>
      <c r="I3" s="29" t="s">
        <v>8</v>
      </c>
      <c r="J3" s="30"/>
      <c r="K3" s="31" t="s">
        <v>9</v>
      </c>
      <c r="L3" s="27"/>
      <c r="M3" s="32"/>
      <c r="N3" s="33"/>
      <c r="O3" s="24" t="s">
        <v>10</v>
      </c>
      <c r="P3" s="34" t="s">
        <v>11</v>
      </c>
      <c r="Q3" s="34" t="s">
        <v>12</v>
      </c>
      <c r="R3" s="24" t="s">
        <v>13</v>
      </c>
      <c r="S3" s="20"/>
      <c r="T3" s="20"/>
      <c r="U3" s="20"/>
      <c r="V3" s="20"/>
      <c r="W3" s="20"/>
      <c r="X3" s="20"/>
      <c r="Y3" s="20"/>
      <c r="Z3" s="20"/>
    </row>
    <row r="4" s="20" customFormat="1" ht="62.25" customHeight="1">
      <c r="A4" s="21"/>
      <c r="B4" s="22"/>
      <c r="C4" s="23"/>
      <c r="D4" s="24"/>
      <c r="E4" s="25"/>
      <c r="F4" s="35" t="s">
        <v>14</v>
      </c>
      <c r="G4" s="36" t="s">
        <v>15</v>
      </c>
      <c r="H4" s="37" t="s">
        <v>16</v>
      </c>
      <c r="I4" s="38" t="s">
        <v>17</v>
      </c>
      <c r="J4" s="38" t="s">
        <v>16</v>
      </c>
      <c r="K4" s="39" t="s">
        <v>18</v>
      </c>
      <c r="L4" s="40" t="s">
        <v>19</v>
      </c>
      <c r="M4" s="41" t="s">
        <v>20</v>
      </c>
      <c r="N4" s="42" t="s">
        <v>21</v>
      </c>
      <c r="O4" s="24"/>
      <c r="P4" s="34"/>
      <c r="Q4" s="34"/>
      <c r="R4" s="24"/>
      <c r="S4" s="20"/>
      <c r="T4" s="20"/>
      <c r="U4" s="20"/>
      <c r="V4" s="20"/>
      <c r="W4" s="20"/>
      <c r="X4" s="20"/>
      <c r="Y4" s="20"/>
      <c r="Z4" s="20"/>
    </row>
    <row r="5" s="43" customFormat="1" ht="23.25" customHeight="1">
      <c r="A5" s="44"/>
      <c r="B5" s="45" t="s">
        <v>22</v>
      </c>
      <c r="C5" s="46"/>
      <c r="D5" s="47"/>
      <c r="E5" s="48">
        <f>SUM(E6:E16)</f>
        <v>3677154.4799999991</v>
      </c>
      <c r="F5" s="49">
        <f>SUM(F6:F16)</f>
        <v>28873554.000000004</v>
      </c>
      <c r="G5" s="50">
        <f>SUM(G6:G16)</f>
        <v>4740249</v>
      </c>
      <c r="H5" s="50">
        <f>SUM(H6:H16)</f>
        <v>2138678.2000000002</v>
      </c>
      <c r="I5" s="50">
        <f>SUM(I6:I16)</f>
        <v>4375145.7700000005</v>
      </c>
      <c r="J5" s="50">
        <f>SUM(J6:J16)</f>
        <v>2064983.0399999996</v>
      </c>
      <c r="K5" s="50">
        <f>SUM(K6:K16)</f>
        <v>697991.28999999992</v>
      </c>
      <c r="L5" s="50">
        <f>SUM(L6:L16)</f>
        <v>-365103.23000000039</v>
      </c>
      <c r="M5" s="51">
        <f>SUM(M6:M16)</f>
        <v>-24498408.23</v>
      </c>
      <c r="N5" s="49">
        <f>SUM(N6:N16)</f>
        <v>-73695.160000000062</v>
      </c>
      <c r="O5" s="52">
        <f t="shared" ref="O5:O9" si="0">IFERROR(I5/E5,"")</f>
        <v>1.1898183211492386</v>
      </c>
      <c r="P5" s="53">
        <f t="shared" ref="P5:P9" si="1">IFERROR(J5/H5,"")</f>
        <v>0.96554172572573072</v>
      </c>
      <c r="Q5" s="54">
        <f t="shared" ref="Q5:Q9" si="2">IFERROR(I5/G5,"")</f>
        <v>0.92297804819957785</v>
      </c>
      <c r="R5" s="55">
        <f t="shared" ref="R5:R9" si="3">IFERROR(I5/F5,"")</f>
        <v>0.15152778802360112</v>
      </c>
      <c r="S5" s="43"/>
      <c r="T5" s="43"/>
      <c r="U5" s="43"/>
      <c r="V5" s="43"/>
      <c r="W5" s="43"/>
      <c r="X5" s="43"/>
      <c r="Y5" s="43"/>
      <c r="Z5" s="43"/>
      <c r="AA5" s="43"/>
    </row>
    <row r="6" ht="18.75" customHeight="1">
      <c r="A6" s="56"/>
      <c r="B6" s="57" t="s">
        <v>23</v>
      </c>
      <c r="C6" s="58" t="s">
        <v>24</v>
      </c>
      <c r="D6" s="59" t="s">
        <v>25</v>
      </c>
      <c r="E6" s="60">
        <v>2713103.6299999999</v>
      </c>
      <c r="F6" s="61">
        <f>22841274.9-1013674.9</f>
        <v>21827600</v>
      </c>
      <c r="G6" s="62">
        <f>3789821.7-48151.3</f>
        <v>3741670.4000000004</v>
      </c>
      <c r="H6" s="62">
        <f>1556810-48151.3</f>
        <v>1508658.7</v>
      </c>
      <c r="I6" s="62">
        <v>3573629.3999999999</v>
      </c>
      <c r="J6" s="63">
        <v>1438271.8299999998</v>
      </c>
      <c r="K6" s="63">
        <f t="shared" ref="K6:K9" si="4">I6-E6</f>
        <v>860525.77000000002</v>
      </c>
      <c r="L6" s="64">
        <f t="shared" ref="L6:L9" si="5">I6-G6</f>
        <v>-168041.00000000047</v>
      </c>
      <c r="M6" s="65">
        <f t="shared" ref="M6:M9" si="6">I6-F6</f>
        <v>-18253970.600000001</v>
      </c>
      <c r="N6" s="66">
        <f t="shared" ref="N6:N9" si="7">J6-H6</f>
        <v>-70386.870000000112</v>
      </c>
      <c r="O6" s="67">
        <f t="shared" si="0"/>
        <v>1.3171739407536012</v>
      </c>
      <c r="P6" s="68">
        <f t="shared" si="1"/>
        <v>0.95334473595651548</v>
      </c>
      <c r="Q6" s="67">
        <f t="shared" si="2"/>
        <v>0.95508930984407381</v>
      </c>
      <c r="R6" s="69">
        <f t="shared" si="3"/>
        <v>0.16372067474206967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70"/>
      <c r="B7" s="71" t="s">
        <v>26</v>
      </c>
      <c r="C7" s="72" t="s">
        <v>27</v>
      </c>
      <c r="D7" s="73" t="s">
        <v>28</v>
      </c>
      <c r="E7" s="74">
        <v>14079.34</v>
      </c>
      <c r="F7" s="75">
        <v>58676</v>
      </c>
      <c r="G7" s="76">
        <v>14342.5</v>
      </c>
      <c r="H7" s="77">
        <v>8525</v>
      </c>
      <c r="I7" s="78">
        <v>10419.190000000001</v>
      </c>
      <c r="J7" s="77">
        <v>5042.9700000000003</v>
      </c>
      <c r="K7" s="78">
        <f t="shared" si="4"/>
        <v>-3660.1499999999996</v>
      </c>
      <c r="L7" s="77">
        <f t="shared" si="5"/>
        <v>-3923.3099999999995</v>
      </c>
      <c r="M7" s="79">
        <f t="shared" si="6"/>
        <v>-48256.809999999998</v>
      </c>
      <c r="N7" s="74">
        <f t="shared" si="7"/>
        <v>-3482.0299999999997</v>
      </c>
      <c r="O7" s="80">
        <f t="shared" si="0"/>
        <v>0.74003397886548661</v>
      </c>
      <c r="P7" s="81">
        <f t="shared" si="1"/>
        <v>0.59155073313782991</v>
      </c>
      <c r="Q7" s="82">
        <f t="shared" si="2"/>
        <v>0.72645563883562836</v>
      </c>
      <c r="R7" s="83">
        <f t="shared" si="3"/>
        <v>0.17757157952143979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70"/>
      <c r="B8" s="71" t="s">
        <v>23</v>
      </c>
      <c r="C8" s="84" t="s">
        <v>29</v>
      </c>
      <c r="D8" s="73" t="s">
        <v>30</v>
      </c>
      <c r="E8" s="74">
        <v>0</v>
      </c>
      <c r="F8" s="75">
        <v>38381</v>
      </c>
      <c r="G8" s="77">
        <v>7900</v>
      </c>
      <c r="H8" s="77">
        <v>200</v>
      </c>
      <c r="I8" s="77">
        <v>10879.040000000001</v>
      </c>
      <c r="J8" s="77">
        <v>167.65000000000001</v>
      </c>
      <c r="K8" s="77">
        <f t="shared" si="4"/>
        <v>10879.040000000001</v>
      </c>
      <c r="L8" s="77">
        <f t="shared" si="5"/>
        <v>2979.0400000000009</v>
      </c>
      <c r="M8" s="74">
        <f t="shared" si="6"/>
        <v>-27501.959999999999</v>
      </c>
      <c r="N8" s="85">
        <f t="shared" si="7"/>
        <v>-32.349999999999994</v>
      </c>
      <c r="O8" s="81" t="str">
        <f t="shared" si="0"/>
        <v/>
      </c>
      <c r="P8" s="80">
        <f t="shared" si="1"/>
        <v>0.83825000000000005</v>
      </c>
      <c r="Q8" s="81">
        <f t="shared" si="2"/>
        <v>1.3770936708860761</v>
      </c>
      <c r="R8" s="83">
        <f t="shared" si="3"/>
        <v>0.28344858132930356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70"/>
      <c r="B9" s="71" t="s">
        <v>23</v>
      </c>
      <c r="C9" s="72" t="s">
        <v>31</v>
      </c>
      <c r="D9" s="73" t="s">
        <v>32</v>
      </c>
      <c r="E9" s="74">
        <v>8022.6499999999996</v>
      </c>
      <c r="F9" s="75">
        <v>1319195.1000000001</v>
      </c>
      <c r="G9" s="77">
        <v>175600</v>
      </c>
      <c r="H9" s="77">
        <v>168900</v>
      </c>
      <c r="I9" s="77">
        <v>9781.2399999999998</v>
      </c>
      <c r="J9" s="77">
        <v>2188.7399999999998</v>
      </c>
      <c r="K9" s="77">
        <f t="shared" si="4"/>
        <v>1758.5900000000001</v>
      </c>
      <c r="L9" s="77">
        <f t="shared" si="5"/>
        <v>-165818.76000000001</v>
      </c>
      <c r="M9" s="79">
        <f t="shared" si="6"/>
        <v>-1309413.8600000001</v>
      </c>
      <c r="N9" s="74">
        <f t="shared" si="7"/>
        <v>-166711.26000000001</v>
      </c>
      <c r="O9" s="80">
        <f t="shared" si="0"/>
        <v>1.219203131134974</v>
      </c>
      <c r="P9" s="81">
        <f t="shared" si="1"/>
        <v>0.012958792184724687</v>
      </c>
      <c r="Q9" s="82">
        <f t="shared" si="2"/>
        <v>0.055701822323462415</v>
      </c>
      <c r="R9" s="83">
        <f t="shared" si="3"/>
        <v>0.0074145514943164958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70"/>
      <c r="B10" s="71" t="s">
        <v>23</v>
      </c>
      <c r="C10" s="84" t="s">
        <v>33</v>
      </c>
      <c r="D10" s="73" t="s">
        <v>34</v>
      </c>
      <c r="E10" s="74">
        <v>90.609999999999999</v>
      </c>
      <c r="F10" s="75">
        <v>0</v>
      </c>
      <c r="G10" s="77">
        <v>0</v>
      </c>
      <c r="H10" s="77">
        <v>0</v>
      </c>
      <c r="I10" s="77">
        <v>75.200000000000003</v>
      </c>
      <c r="J10" s="77">
        <v>42.469999999999999</v>
      </c>
      <c r="K10" s="77">
        <f t="shared" ref="K10:K47" si="8">I10-E10</f>
        <v>-15.409999999999997</v>
      </c>
      <c r="L10" s="77">
        <f t="shared" ref="L10:L73" si="9">I10-G10</f>
        <v>75.200000000000003</v>
      </c>
      <c r="M10" s="74">
        <f t="shared" ref="M10:M47" si="10">I10-F10</f>
        <v>75.200000000000003</v>
      </c>
      <c r="N10" s="85">
        <f t="shared" ref="N10:N47" si="11">J10-H10</f>
        <v>42.469999999999999</v>
      </c>
      <c r="O10" s="81">
        <f t="shared" ref="O10:O73" si="12">IFERROR(I10/E10,"")</f>
        <v>0.82993047125041386</v>
      </c>
      <c r="P10" s="80" t="str">
        <f t="shared" ref="P10:P73" si="13">IFERROR(J10/H10,"")</f>
        <v/>
      </c>
      <c r="Q10" s="81" t="str">
        <f t="shared" ref="Q10:Q73" si="14">IFERROR(I10/G10,"")</f>
        <v/>
      </c>
      <c r="R10" s="8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70"/>
      <c r="B11" s="71" t="s">
        <v>23</v>
      </c>
      <c r="C11" s="72" t="s">
        <v>35</v>
      </c>
      <c r="D11" s="73" t="s">
        <v>36</v>
      </c>
      <c r="E11" s="74">
        <v>13.029999999999999</v>
      </c>
      <c r="F11" s="75">
        <v>1515.3</v>
      </c>
      <c r="G11" s="77">
        <v>660</v>
      </c>
      <c r="H11" s="77">
        <v>660</v>
      </c>
      <c r="I11" s="77">
        <v>-189.61000000000001</v>
      </c>
      <c r="J11" s="77">
        <v>-189.61000000000001</v>
      </c>
      <c r="K11" s="77">
        <f t="shared" si="8"/>
        <v>-202.64000000000001</v>
      </c>
      <c r="L11" s="77">
        <f t="shared" si="9"/>
        <v>-849.61000000000001</v>
      </c>
      <c r="M11" s="79">
        <f t="shared" si="10"/>
        <v>-1704.9099999999999</v>
      </c>
      <c r="N11" s="74">
        <f t="shared" si="11"/>
        <v>-849.61000000000001</v>
      </c>
      <c r="O11" s="80">
        <f t="shared" si="12"/>
        <v>-14.551803530314661</v>
      </c>
      <c r="P11" s="81">
        <f t="shared" si="13"/>
        <v>-0.28728787878787881</v>
      </c>
      <c r="Q11" s="82">
        <f t="shared" si="14"/>
        <v>-0.28728787878787881</v>
      </c>
      <c r="R11" s="83">
        <f t="shared" si="15"/>
        <v>-0.12513033722695177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70"/>
      <c r="B12" s="71" t="s">
        <v>23</v>
      </c>
      <c r="C12" s="84" t="s">
        <v>37</v>
      </c>
      <c r="D12" s="73" t="s">
        <v>38</v>
      </c>
      <c r="E12" s="74">
        <v>170372.17000000001</v>
      </c>
      <c r="F12" s="75">
        <v>446509.79999999999</v>
      </c>
      <c r="G12" s="77">
        <v>7815.6000000000004</v>
      </c>
      <c r="H12" s="77">
        <v>1000</v>
      </c>
      <c r="I12" s="77">
        <v>5975.4400000000005</v>
      </c>
      <c r="J12" s="77">
        <v>2643.6700000000001</v>
      </c>
      <c r="K12" s="77">
        <f t="shared" si="8"/>
        <v>-164396.73000000001</v>
      </c>
      <c r="L12" s="77">
        <f t="shared" si="9"/>
        <v>-1840.1599999999999</v>
      </c>
      <c r="M12" s="74">
        <f t="shared" si="10"/>
        <v>-440534.35999999999</v>
      </c>
      <c r="N12" s="85">
        <f t="shared" si="11"/>
        <v>1643.6700000000001</v>
      </c>
      <c r="O12" s="81">
        <f t="shared" si="12"/>
        <v>0.035072864306418122</v>
      </c>
      <c r="P12" s="80">
        <f t="shared" si="13"/>
        <v>2.6436700000000002</v>
      </c>
      <c r="Q12" s="81">
        <f t="shared" si="14"/>
        <v>0.76455294539126872</v>
      </c>
      <c r="R12" s="83">
        <f t="shared" si="15"/>
        <v>0.013382550618149927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70"/>
      <c r="B13" s="71" t="s">
        <v>39</v>
      </c>
      <c r="C13" s="72" t="s">
        <v>40</v>
      </c>
      <c r="D13" s="73" t="s">
        <v>41</v>
      </c>
      <c r="E13" s="74">
        <v>54337.169999999998</v>
      </c>
      <c r="F13" s="75">
        <v>1866643.8</v>
      </c>
      <c r="G13" s="77">
        <v>62000</v>
      </c>
      <c r="H13" s="77">
        <v>11000</v>
      </c>
      <c r="I13" s="77">
        <v>55404.370000000003</v>
      </c>
      <c r="J13" s="77">
        <v>9159.5799999999999</v>
      </c>
      <c r="K13" s="77">
        <f t="shared" si="8"/>
        <v>1067.2000000000044</v>
      </c>
      <c r="L13" s="77">
        <f t="shared" si="9"/>
        <v>-6595.6299999999974</v>
      </c>
      <c r="M13" s="79">
        <f t="shared" si="10"/>
        <v>-1811239.4299999999</v>
      </c>
      <c r="N13" s="74">
        <f t="shared" si="11"/>
        <v>-1840.4200000000001</v>
      </c>
      <c r="O13" s="80">
        <f t="shared" si="12"/>
        <v>1.0196403309189641</v>
      </c>
      <c r="P13" s="81">
        <f t="shared" si="13"/>
        <v>0.83268909090909093</v>
      </c>
      <c r="Q13" s="82">
        <f t="shared" si="14"/>
        <v>0.89361887096774195</v>
      </c>
      <c r="R13" s="83">
        <f t="shared" si="15"/>
        <v>0.029681276095632172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70"/>
      <c r="B14" s="71" t="s">
        <v>39</v>
      </c>
      <c r="C14" s="84" t="s">
        <v>42</v>
      </c>
      <c r="D14" s="73" t="s">
        <v>43</v>
      </c>
      <c r="E14" s="74">
        <v>565447.56000000006</v>
      </c>
      <c r="F14" s="75">
        <v>2628818</v>
      </c>
      <c r="G14" s="77">
        <v>577500</v>
      </c>
      <c r="H14" s="77">
        <v>375000</v>
      </c>
      <c r="I14" s="77">
        <v>554219.68000000005</v>
      </c>
      <c r="J14" s="77">
        <v>551316.54000000004</v>
      </c>
      <c r="K14" s="77">
        <f t="shared" si="8"/>
        <v>-11227.880000000005</v>
      </c>
      <c r="L14" s="77">
        <f t="shared" si="9"/>
        <v>-23280.319999999949</v>
      </c>
      <c r="M14" s="74">
        <f t="shared" si="10"/>
        <v>-2074598.3199999998</v>
      </c>
      <c r="N14" s="86">
        <f t="shared" si="11"/>
        <v>176316.54000000004</v>
      </c>
      <c r="O14" s="81">
        <f t="shared" si="12"/>
        <v>0.98014337527603801</v>
      </c>
      <c r="P14" s="80">
        <f t="shared" si="13"/>
        <v>1.4701774400000001</v>
      </c>
      <c r="Q14" s="81">
        <f t="shared" si="14"/>
        <v>0.95968775757575764</v>
      </c>
      <c r="R14" s="83">
        <f t="shared" si="15"/>
        <v>0.21082466720784782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70"/>
      <c r="B15" s="71"/>
      <c r="C15" s="72" t="s">
        <v>44</v>
      </c>
      <c r="D15" s="73" t="s">
        <v>45</v>
      </c>
      <c r="E15" s="74">
        <v>151688.32000000001</v>
      </c>
      <c r="F15" s="75">
        <v>686215</v>
      </c>
      <c r="G15" s="77">
        <v>152760.5</v>
      </c>
      <c r="H15" s="77">
        <v>64734.5</v>
      </c>
      <c r="I15" s="77">
        <v>154951.82000000001</v>
      </c>
      <c r="J15" s="77">
        <v>56339.200000000004</v>
      </c>
      <c r="K15" s="77">
        <f t="shared" si="8"/>
        <v>3263.5</v>
      </c>
      <c r="L15" s="77">
        <f t="shared" si="9"/>
        <v>2191.320000000007</v>
      </c>
      <c r="M15" s="74">
        <f t="shared" si="10"/>
        <v>-531263.17999999993</v>
      </c>
      <c r="N15" s="87">
        <f t="shared" si="11"/>
        <v>-8395.2999999999956</v>
      </c>
      <c r="O15" s="81">
        <f t="shared" si="12"/>
        <v>1.0215145108074242</v>
      </c>
      <c r="P15" s="81">
        <f t="shared" si="13"/>
        <v>0.87031181209401487</v>
      </c>
      <c r="Q15" s="81">
        <f t="shared" si="14"/>
        <v>1.0143448077218915</v>
      </c>
      <c r="R15" s="83">
        <f t="shared" si="15"/>
        <v>0.22580651836523541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88"/>
      <c r="B16" s="89" t="s">
        <v>39</v>
      </c>
      <c r="C16" s="84" t="s">
        <v>46</v>
      </c>
      <c r="D16" s="90" t="s">
        <v>47</v>
      </c>
      <c r="E16" s="91">
        <v>0</v>
      </c>
      <c r="F16" s="91">
        <v>0</v>
      </c>
      <c r="G16" s="78">
        <v>0</v>
      </c>
      <c r="H16" s="92">
        <v>0</v>
      </c>
      <c r="I16" s="92">
        <v>0</v>
      </c>
      <c r="J16" s="93">
        <v>0</v>
      </c>
      <c r="K16" s="93">
        <f t="shared" si="8"/>
        <v>0</v>
      </c>
      <c r="L16" s="78">
        <f t="shared" si="9"/>
        <v>0</v>
      </c>
      <c r="M16" s="91">
        <f t="shared" si="10"/>
        <v>0</v>
      </c>
      <c r="N16" s="85">
        <f t="shared" si="11"/>
        <v>0</v>
      </c>
      <c r="O16" s="94" t="str">
        <f t="shared" si="12"/>
        <v/>
      </c>
      <c r="P16" s="80" t="str">
        <f t="shared" si="13"/>
        <v/>
      </c>
      <c r="Q16" s="94" t="str">
        <f t="shared" si="14"/>
        <v/>
      </c>
      <c r="R16" s="95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3" customFormat="1" ht="24" customHeight="1">
      <c r="A17" s="96" t="s">
        <v>48</v>
      </c>
      <c r="B17" s="97"/>
      <c r="C17" s="98"/>
      <c r="D17" s="99"/>
      <c r="E17" s="49">
        <f>E21+E25+E34+E48+E56+E59+E62+E71</f>
        <v>1476556.3900000001</v>
      </c>
      <c r="F17" s="49">
        <f>F21+F25+F34+F48+F56+F59+F62+F71</f>
        <v>8032481.5099999998</v>
      </c>
      <c r="G17" s="100">
        <f>G21+G25+G34+G48+G56+G59+G62+G71</f>
        <v>1874869.0100000002</v>
      </c>
      <c r="H17" s="50">
        <f>H21+H25+H34+H48+H56+H59+H62+H71</f>
        <v>664083.70999999996</v>
      </c>
      <c r="I17" s="50">
        <f>I21+I25+I34+I48+I56+I59+I62+I71</f>
        <v>1952888.5499999998</v>
      </c>
      <c r="J17" s="101">
        <f>J21+J25+J34+J48+J56+J59+J62+J71</f>
        <v>673294.31000000006</v>
      </c>
      <c r="K17" s="50">
        <f t="shared" si="8"/>
        <v>476332.15999999968</v>
      </c>
      <c r="L17" s="100">
        <f t="shared" si="9"/>
        <v>78019.539999999572</v>
      </c>
      <c r="M17" s="102">
        <f t="shared" si="10"/>
        <v>-6079592.96</v>
      </c>
      <c r="N17" s="103">
        <f t="shared" si="11"/>
        <v>9210.6000000000931</v>
      </c>
      <c r="O17" s="52">
        <f t="shared" si="12"/>
        <v>1.3225966601925712</v>
      </c>
      <c r="P17" s="53">
        <f t="shared" si="13"/>
        <v>1.0138696370070577</v>
      </c>
      <c r="Q17" s="54">
        <f t="shared" si="14"/>
        <v>1.0416133284959463</v>
      </c>
      <c r="R17" s="55">
        <f t="shared" si="15"/>
        <v>0.2431239396653152</v>
      </c>
      <c r="S17" s="43"/>
      <c r="T17" s="43"/>
      <c r="U17" s="43"/>
      <c r="V17" s="43"/>
      <c r="W17" s="43"/>
      <c r="X17" s="43"/>
      <c r="Y17" s="43"/>
      <c r="Z17" s="43"/>
      <c r="AA17" s="43"/>
    </row>
    <row r="18" ht="17.25">
      <c r="A18" s="104" t="s">
        <v>49</v>
      </c>
      <c r="B18" s="105" t="s">
        <v>26</v>
      </c>
      <c r="C18" s="106" t="s">
        <v>50</v>
      </c>
      <c r="D18" s="107" t="s">
        <v>51</v>
      </c>
      <c r="E18" s="108">
        <v>63501.150000000001</v>
      </c>
      <c r="F18" s="60">
        <f>295538.8+75672.2</f>
        <v>371211</v>
      </c>
      <c r="G18" s="64">
        <f>66000+16000</f>
        <v>82000</v>
      </c>
      <c r="H18" s="63">
        <f>23000+6000</f>
        <v>29000</v>
      </c>
      <c r="I18" s="109">
        <v>81523.850000000006</v>
      </c>
      <c r="J18" s="63">
        <v>28430.900000000001</v>
      </c>
      <c r="K18" s="64">
        <f t="shared" si="8"/>
        <v>18022.700000000004</v>
      </c>
      <c r="L18" s="63">
        <f t="shared" si="9"/>
        <v>-476.14999999999418</v>
      </c>
      <c r="M18" s="60">
        <f t="shared" si="10"/>
        <v>-289687.15000000002</v>
      </c>
      <c r="N18" s="66">
        <f t="shared" si="11"/>
        <v>-569.09999999999854</v>
      </c>
      <c r="O18" s="67">
        <f t="shared" si="12"/>
        <v>1.2838169072528609</v>
      </c>
      <c r="P18" s="68">
        <f t="shared" si="13"/>
        <v>0.98037586206896554</v>
      </c>
      <c r="Q18" s="67">
        <f t="shared" si="14"/>
        <v>0.99419329268292689</v>
      </c>
      <c r="R18" s="69">
        <f t="shared" si="15"/>
        <v>0.21961593271751109</v>
      </c>
      <c r="S18" s="1"/>
      <c r="T18" s="1"/>
      <c r="U18" s="1"/>
      <c r="V18" s="1"/>
      <c r="W18" s="1"/>
      <c r="X18" s="1"/>
      <c r="Y18" s="1"/>
      <c r="Z18" s="1"/>
    </row>
    <row r="19" ht="17.25" hidden="1">
      <c r="A19" s="110"/>
      <c r="B19" s="111"/>
      <c r="C19" s="72" t="s">
        <v>52</v>
      </c>
      <c r="D19" s="112" t="s">
        <v>53</v>
      </c>
      <c r="E19" s="113">
        <v>0</v>
      </c>
      <c r="F19" s="113">
        <v>0</v>
      </c>
      <c r="G19" s="114">
        <v>0</v>
      </c>
      <c r="H19" s="115">
        <v>0</v>
      </c>
      <c r="I19" s="114">
        <v>0</v>
      </c>
      <c r="J19" s="114">
        <v>0</v>
      </c>
      <c r="K19" s="114">
        <f t="shared" si="8"/>
        <v>0</v>
      </c>
      <c r="L19" s="115">
        <f t="shared" si="9"/>
        <v>0</v>
      </c>
      <c r="M19" s="113">
        <f t="shared" si="10"/>
        <v>0</v>
      </c>
      <c r="N19" s="116">
        <f t="shared" si="11"/>
        <v>0</v>
      </c>
      <c r="O19" s="80" t="str">
        <f t="shared" si="12"/>
        <v/>
      </c>
      <c r="P19" s="81" t="str">
        <f t="shared" si="13"/>
        <v/>
      </c>
      <c r="Q19" s="82" t="str">
        <f t="shared" si="14"/>
        <v/>
      </c>
      <c r="R19" s="83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110"/>
      <c r="B20" s="111"/>
      <c r="C20" s="84" t="s">
        <v>54</v>
      </c>
      <c r="D20" s="117" t="s">
        <v>55</v>
      </c>
      <c r="E20" s="113">
        <v>52746.870000000003</v>
      </c>
      <c r="F20" s="113">
        <f>253415.2+30037.5</f>
        <v>283452.70000000001</v>
      </c>
      <c r="G20" s="114">
        <v>57415.199999999997</v>
      </c>
      <c r="H20" s="118">
        <v>20000</v>
      </c>
      <c r="I20" s="114">
        <v>78041.839999999997</v>
      </c>
      <c r="J20" s="114">
        <v>29076.93</v>
      </c>
      <c r="K20" s="114">
        <f t="shared" si="8"/>
        <v>25294.969999999994</v>
      </c>
      <c r="L20" s="114">
        <f t="shared" si="9"/>
        <v>20626.639999999999</v>
      </c>
      <c r="M20" s="113">
        <f t="shared" si="10"/>
        <v>-205410.86000000002</v>
      </c>
      <c r="N20" s="113">
        <f t="shared" si="11"/>
        <v>9076.9300000000003</v>
      </c>
      <c r="O20" s="81">
        <f t="shared" si="12"/>
        <v>1.4795539526800356</v>
      </c>
      <c r="P20" s="80">
        <f t="shared" si="13"/>
        <v>1.4538465</v>
      </c>
      <c r="Q20" s="81">
        <f t="shared" si="14"/>
        <v>1.3592539954576488</v>
      </c>
      <c r="R20" s="83">
        <f t="shared" si="15"/>
        <v>0.27532579509738309</v>
      </c>
      <c r="S20" s="1"/>
      <c r="T20" s="1"/>
      <c r="U20" s="1"/>
      <c r="V20" s="1"/>
      <c r="W20" s="1"/>
      <c r="X20" s="1"/>
      <c r="Y20" s="1"/>
      <c r="Z20" s="1"/>
    </row>
    <row r="21" s="119" customFormat="1" ht="17.25">
      <c r="A21" s="120"/>
      <c r="B21" s="121"/>
      <c r="C21" s="122"/>
      <c r="D21" s="123" t="s">
        <v>56</v>
      </c>
      <c r="E21" s="124">
        <f>SUM(E18:E20)</f>
        <v>116248.02</v>
      </c>
      <c r="F21" s="124">
        <f>SUM(F18:F20)</f>
        <v>654663.69999999995</v>
      </c>
      <c r="G21" s="125">
        <f>SUM(G18:G20)</f>
        <v>139415.20000000001</v>
      </c>
      <c r="H21" s="126">
        <f>SUM(H18:H20)</f>
        <v>49000</v>
      </c>
      <c r="I21" s="125">
        <f>SUM(I18:I20)</f>
        <v>159565.69</v>
      </c>
      <c r="J21" s="126">
        <f>SUM(J18:J20)</f>
        <v>57507.830000000002</v>
      </c>
      <c r="K21" s="125">
        <f t="shared" si="8"/>
        <v>43317.669999999998</v>
      </c>
      <c r="L21" s="125">
        <f t="shared" si="9"/>
        <v>20150.489999999991</v>
      </c>
      <c r="M21" s="124">
        <f t="shared" si="10"/>
        <v>-495098.00999999995</v>
      </c>
      <c r="N21" s="124">
        <f t="shared" si="11"/>
        <v>8507.8300000000017</v>
      </c>
      <c r="O21" s="127">
        <f t="shared" si="12"/>
        <v>1.3726314650348452</v>
      </c>
      <c r="P21" s="127">
        <f t="shared" si="13"/>
        <v>1.1736291836734694</v>
      </c>
      <c r="Q21" s="127">
        <f t="shared" si="14"/>
        <v>1.1445358181891214</v>
      </c>
      <c r="R21" s="128">
        <f t="shared" si="15"/>
        <v>0.24373688353272072</v>
      </c>
      <c r="S21" s="119"/>
      <c r="T21" s="119"/>
      <c r="U21" s="119"/>
      <c r="V21" s="119"/>
      <c r="W21" s="119"/>
      <c r="X21" s="119"/>
      <c r="Y21" s="119"/>
      <c r="Z21" s="119"/>
      <c r="AA21" s="119"/>
    </row>
    <row r="22" ht="17.25">
      <c r="A22" s="129">
        <v>951</v>
      </c>
      <c r="B22" s="105" t="s">
        <v>23</v>
      </c>
      <c r="C22" s="130" t="s">
        <v>57</v>
      </c>
      <c r="D22" s="131" t="s">
        <v>58</v>
      </c>
      <c r="E22" s="108">
        <v>20607.57</v>
      </c>
      <c r="F22" s="108">
        <v>119058.5</v>
      </c>
      <c r="G22" s="64">
        <v>22815.5</v>
      </c>
      <c r="H22" s="63">
        <v>9357.6000000000004</v>
      </c>
      <c r="I22" s="109">
        <v>27794.779999999999</v>
      </c>
      <c r="J22" s="63">
        <v>10406.719999999999</v>
      </c>
      <c r="K22" s="63">
        <f t="shared" si="8"/>
        <v>7187.2099999999991</v>
      </c>
      <c r="L22" s="63">
        <f t="shared" si="9"/>
        <v>4979.2799999999988</v>
      </c>
      <c r="M22" s="132">
        <f t="shared" si="10"/>
        <v>-91263.720000000001</v>
      </c>
      <c r="N22" s="60">
        <f t="shared" si="11"/>
        <v>1049.119999999999</v>
      </c>
      <c r="O22" s="68">
        <f t="shared" si="12"/>
        <v>1.348765526454599</v>
      </c>
      <c r="P22" s="67">
        <f t="shared" si="13"/>
        <v>1.1121142173206804</v>
      </c>
      <c r="Q22" s="133">
        <f t="shared" si="14"/>
        <v>1.2182411080186715</v>
      </c>
      <c r="R22" s="69">
        <f t="shared" si="15"/>
        <v>0.23345481422997938</v>
      </c>
      <c r="S22" s="1"/>
      <c r="T22" s="1"/>
      <c r="U22" s="1"/>
      <c r="V22" s="1"/>
      <c r="W22" s="1"/>
      <c r="X22" s="1"/>
      <c r="Y22" s="1"/>
      <c r="Z22" s="1"/>
    </row>
    <row r="23" ht="17.25">
      <c r="A23" s="134"/>
      <c r="B23" s="111"/>
      <c r="C23" s="135" t="s">
        <v>59</v>
      </c>
      <c r="D23" s="112" t="s">
        <v>60</v>
      </c>
      <c r="E23" s="113">
        <v>2390.3600000000001</v>
      </c>
      <c r="F23" s="136">
        <v>10589.6</v>
      </c>
      <c r="G23" s="114">
        <v>1805.4000000000001</v>
      </c>
      <c r="H23" s="114">
        <v>1580</v>
      </c>
      <c r="I23" s="114">
        <v>2749.1800000000003</v>
      </c>
      <c r="J23" s="114">
        <v>2254.3800000000001</v>
      </c>
      <c r="K23" s="114">
        <f t="shared" si="8"/>
        <v>358.82000000000016</v>
      </c>
      <c r="L23" s="114">
        <f t="shared" si="9"/>
        <v>943.7800000000002</v>
      </c>
      <c r="M23" s="113">
        <f t="shared" si="10"/>
        <v>-7840.4200000000001</v>
      </c>
      <c r="N23" s="113">
        <f t="shared" si="11"/>
        <v>674.38000000000011</v>
      </c>
      <c r="O23" s="81">
        <f t="shared" si="12"/>
        <v>1.1501112803092421</v>
      </c>
      <c r="P23" s="81">
        <f t="shared" si="13"/>
        <v>1.4268227848101267</v>
      </c>
      <c r="Q23" s="81">
        <f t="shared" si="14"/>
        <v>1.5227539603411988</v>
      </c>
      <c r="R23" s="83">
        <f t="shared" si="15"/>
        <v>0.25961131676361715</v>
      </c>
      <c r="S23" s="1"/>
      <c r="T23" s="1"/>
      <c r="U23" s="1"/>
      <c r="V23" s="1"/>
      <c r="W23" s="1"/>
      <c r="X23" s="1"/>
      <c r="Y23" s="1"/>
      <c r="Z23" s="1"/>
    </row>
    <row r="24" ht="17.25">
      <c r="A24" s="137"/>
      <c r="B24" s="138"/>
      <c r="C24" s="139" t="s">
        <v>61</v>
      </c>
      <c r="D24" s="140" t="s">
        <v>62</v>
      </c>
      <c r="E24" s="113">
        <v>480.67000000000002</v>
      </c>
      <c r="F24" s="136">
        <v>2512.1999999999998</v>
      </c>
      <c r="G24" s="141">
        <v>610</v>
      </c>
      <c r="H24" s="141">
        <v>230</v>
      </c>
      <c r="I24" s="114">
        <v>514.45000000000005</v>
      </c>
      <c r="J24" s="114">
        <v>227.75</v>
      </c>
      <c r="K24" s="114">
        <f t="shared" si="8"/>
        <v>33.78000000000003</v>
      </c>
      <c r="L24" s="114">
        <f t="shared" si="9"/>
        <v>-95.549999999999955</v>
      </c>
      <c r="M24" s="113">
        <f t="shared" si="10"/>
        <v>-1997.7499999999998</v>
      </c>
      <c r="N24" s="142">
        <f t="shared" si="11"/>
        <v>-2.25</v>
      </c>
      <c r="O24" s="81">
        <f t="shared" si="12"/>
        <v>1.0702769051532237</v>
      </c>
      <c r="P24" s="80">
        <f t="shared" si="13"/>
        <v>0.99021739130434783</v>
      </c>
      <c r="Q24" s="81">
        <f t="shared" si="14"/>
        <v>0.84336065573770502</v>
      </c>
      <c r="R24" s="83">
        <f t="shared" si="15"/>
        <v>0.20478067032879552</v>
      </c>
      <c r="S24" s="1"/>
      <c r="T24" s="1"/>
      <c r="U24" s="1"/>
      <c r="V24" s="1"/>
      <c r="W24" s="1"/>
      <c r="X24" s="1"/>
      <c r="Y24" s="1"/>
      <c r="Z24" s="1"/>
    </row>
    <row r="25" s="119" customFormat="1" ht="17.25">
      <c r="A25" s="143"/>
      <c r="B25" s="121"/>
      <c r="C25" s="144"/>
      <c r="D25" s="145" t="s">
        <v>56</v>
      </c>
      <c r="E25" s="124">
        <f>E22+E23+E24</f>
        <v>23478.599999999999</v>
      </c>
      <c r="F25" s="124">
        <f>F22+F23+F24</f>
        <v>132160.30000000002</v>
      </c>
      <c r="G25" s="125">
        <f>G22+G23+G24</f>
        <v>25230.900000000001</v>
      </c>
      <c r="H25" s="126">
        <f>H22+H23+H24</f>
        <v>11167.6</v>
      </c>
      <c r="I25" s="125">
        <f>I22+I23+I24</f>
        <v>31058.41</v>
      </c>
      <c r="J25" s="126">
        <f>J22+J23+J24</f>
        <v>12888.849999999999</v>
      </c>
      <c r="K25" s="125">
        <f t="shared" si="8"/>
        <v>7579.8100000000013</v>
      </c>
      <c r="L25" s="125">
        <f t="shared" si="9"/>
        <v>5827.5099999999984</v>
      </c>
      <c r="M25" s="146">
        <f t="shared" si="10"/>
        <v>-101101.89000000001</v>
      </c>
      <c r="N25" s="124">
        <f t="shared" si="11"/>
        <v>1721.2499999999982</v>
      </c>
      <c r="O25" s="147">
        <f t="shared" si="12"/>
        <v>1.3228390960278722</v>
      </c>
      <c r="P25" s="127">
        <f t="shared" si="13"/>
        <v>1.1541289086285325</v>
      </c>
      <c r="Q25" s="148">
        <f t="shared" si="14"/>
        <v>1.2309671870603109</v>
      </c>
      <c r="R25" s="128">
        <f t="shared" si="15"/>
        <v>0.23500559547761313</v>
      </c>
      <c r="S25" s="119"/>
      <c r="T25" s="119"/>
      <c r="U25" s="119"/>
      <c r="V25" s="119"/>
      <c r="W25" s="119"/>
      <c r="X25" s="119"/>
      <c r="Y25" s="119"/>
      <c r="Z25" s="119"/>
      <c r="AA25" s="119"/>
    </row>
    <row r="26" ht="17.25">
      <c r="A26" s="104" t="s">
        <v>63</v>
      </c>
      <c r="B26" s="105" t="s">
        <v>64</v>
      </c>
      <c r="C26" s="149" t="s">
        <v>65</v>
      </c>
      <c r="D26" s="150" t="s">
        <v>66</v>
      </c>
      <c r="E26" s="60">
        <v>0</v>
      </c>
      <c r="F26" s="60">
        <v>66</v>
      </c>
      <c r="G26" s="63">
        <v>0</v>
      </c>
      <c r="H26" s="63">
        <v>0</v>
      </c>
      <c r="I26" s="63">
        <v>0</v>
      </c>
      <c r="J26" s="63">
        <v>0</v>
      </c>
      <c r="K26" s="63">
        <f t="shared" si="8"/>
        <v>0</v>
      </c>
      <c r="L26" s="64">
        <f t="shared" si="9"/>
        <v>0</v>
      </c>
      <c r="M26" s="60">
        <f t="shared" si="10"/>
        <v>-66</v>
      </c>
      <c r="N26" s="132">
        <f t="shared" si="11"/>
        <v>0</v>
      </c>
      <c r="O26" s="67" t="str">
        <f t="shared" si="12"/>
        <v/>
      </c>
      <c r="P26" s="68" t="str">
        <f t="shared" si="13"/>
        <v/>
      </c>
      <c r="Q26" s="67" t="str">
        <f t="shared" si="14"/>
        <v/>
      </c>
      <c r="R26" s="69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104"/>
      <c r="B27" s="111"/>
      <c r="C27" s="84" t="s">
        <v>67</v>
      </c>
      <c r="D27" s="151" t="s">
        <v>68</v>
      </c>
      <c r="E27" s="113">
        <v>18648.459999999999</v>
      </c>
      <c r="F27" s="136">
        <v>85184</v>
      </c>
      <c r="G27" s="115">
        <v>18100</v>
      </c>
      <c r="H27" s="114">
        <v>6300</v>
      </c>
      <c r="I27" s="152">
        <v>17196.459999999999</v>
      </c>
      <c r="J27" s="114">
        <v>6504.6399999999994</v>
      </c>
      <c r="K27" s="114">
        <f t="shared" si="8"/>
        <v>-1452</v>
      </c>
      <c r="L27" s="114">
        <f t="shared" si="9"/>
        <v>-903.54000000000087</v>
      </c>
      <c r="M27" s="142">
        <f t="shared" si="10"/>
        <v>-67987.540000000008</v>
      </c>
      <c r="N27" s="113">
        <f t="shared" si="11"/>
        <v>204.63999999999942</v>
      </c>
      <c r="O27" s="80">
        <f t="shared" si="12"/>
        <v>0.922138342790772</v>
      </c>
      <c r="P27" s="81">
        <f t="shared" si="13"/>
        <v>1.0324825396825397</v>
      </c>
      <c r="Q27" s="82">
        <f t="shared" si="14"/>
        <v>0.95008066298342542</v>
      </c>
      <c r="R27" s="83">
        <f t="shared" si="15"/>
        <v>0.20187429564237414</v>
      </c>
      <c r="S27" s="1"/>
      <c r="T27" s="1"/>
      <c r="U27" s="1"/>
      <c r="V27" s="1"/>
      <c r="W27" s="1"/>
      <c r="X27" s="1"/>
      <c r="Y27" s="1"/>
      <c r="Z27" s="1"/>
    </row>
    <row r="28" ht="17.25">
      <c r="A28" s="104"/>
      <c r="B28" s="111"/>
      <c r="C28" s="135" t="s">
        <v>69</v>
      </c>
      <c r="D28" s="153" t="s">
        <v>70</v>
      </c>
      <c r="E28" s="113">
        <v>325.02999999999997</v>
      </c>
      <c r="F28" s="136">
        <v>557</v>
      </c>
      <c r="G28" s="114">
        <v>139.19999999999999</v>
      </c>
      <c r="H28" s="115">
        <v>46.399999999999999</v>
      </c>
      <c r="I28" s="114">
        <v>194.41999999999999</v>
      </c>
      <c r="J28" s="114">
        <v>56.600000000000001</v>
      </c>
      <c r="K28" s="114">
        <f t="shared" si="8"/>
        <v>-130.60999999999999</v>
      </c>
      <c r="L28" s="115">
        <f t="shared" si="9"/>
        <v>55.219999999999999</v>
      </c>
      <c r="M28" s="113">
        <f t="shared" si="10"/>
        <v>-362.58000000000004</v>
      </c>
      <c r="N28" s="142">
        <f t="shared" si="11"/>
        <v>10.200000000000003</v>
      </c>
      <c r="O28" s="81">
        <f t="shared" si="12"/>
        <v>0.59816016983047715</v>
      </c>
      <c r="P28" s="80">
        <f t="shared" si="13"/>
        <v>1.2198275862068966</v>
      </c>
      <c r="Q28" s="81">
        <f t="shared" si="14"/>
        <v>1.3966954022988507</v>
      </c>
      <c r="R28" s="83">
        <f t="shared" si="15"/>
        <v>0.34904847396768401</v>
      </c>
      <c r="S28" s="1"/>
      <c r="T28" s="1"/>
      <c r="U28" s="1"/>
      <c r="V28" s="1"/>
      <c r="W28" s="1"/>
      <c r="X28" s="1"/>
      <c r="Y28" s="1"/>
      <c r="Z28" s="1"/>
    </row>
    <row r="29" ht="17.25">
      <c r="A29" s="104"/>
      <c r="B29" s="111"/>
      <c r="C29" s="3" t="s">
        <v>71</v>
      </c>
      <c r="D29" s="153" t="s">
        <v>72</v>
      </c>
      <c r="E29" s="113">
        <v>0</v>
      </c>
      <c r="F29" s="113">
        <v>11082.299999999999</v>
      </c>
      <c r="G29" s="114">
        <v>0</v>
      </c>
      <c r="H29" s="118">
        <v>0</v>
      </c>
      <c r="I29" s="114">
        <v>0</v>
      </c>
      <c r="J29" s="114">
        <v>0</v>
      </c>
      <c r="K29" s="114">
        <f t="shared" si="8"/>
        <v>0</v>
      </c>
      <c r="L29" s="114">
        <f t="shared" si="9"/>
        <v>0</v>
      </c>
      <c r="M29" s="142">
        <f t="shared" si="10"/>
        <v>-11082.299999999999</v>
      </c>
      <c r="N29" s="113">
        <f t="shared" si="11"/>
        <v>0</v>
      </c>
      <c r="O29" s="80" t="str">
        <f t="shared" si="12"/>
        <v/>
      </c>
      <c r="P29" s="81" t="str">
        <f t="shared" si="13"/>
        <v/>
      </c>
      <c r="Q29" s="82" t="str">
        <f t="shared" si="14"/>
        <v/>
      </c>
      <c r="R29" s="83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104"/>
      <c r="B30" s="111"/>
      <c r="C30" s="135" t="s">
        <v>73</v>
      </c>
      <c r="D30" s="154" t="s">
        <v>74</v>
      </c>
      <c r="E30" s="113">
        <f>E31+E33+E32</f>
        <v>18579.669999999998</v>
      </c>
      <c r="F30" s="113">
        <f>F31+F33+F32</f>
        <v>50575.799999999996</v>
      </c>
      <c r="G30" s="114">
        <f>G31+G33+G32</f>
        <v>13482.700000000001</v>
      </c>
      <c r="H30" s="114">
        <f>H31+H33+H32</f>
        <v>3105</v>
      </c>
      <c r="I30" s="114">
        <f>I31+I33+I32</f>
        <v>7501.1499999999996</v>
      </c>
      <c r="J30" s="114">
        <f>J31+J33+J32</f>
        <v>2677.3299999999999</v>
      </c>
      <c r="K30" s="114">
        <f t="shared" si="8"/>
        <v>-11078.519999999999</v>
      </c>
      <c r="L30" s="115">
        <f t="shared" si="9"/>
        <v>-5981.5500000000011</v>
      </c>
      <c r="M30" s="113">
        <f t="shared" si="10"/>
        <v>-43074.649999999994</v>
      </c>
      <c r="N30" s="142">
        <f t="shared" si="11"/>
        <v>-427.67000000000007</v>
      </c>
      <c r="O30" s="81">
        <f t="shared" si="12"/>
        <v>0.40372891445327069</v>
      </c>
      <c r="P30" s="80">
        <f t="shared" si="13"/>
        <v>0.86226409017713368</v>
      </c>
      <c r="Q30" s="81">
        <f t="shared" si="14"/>
        <v>0.55635369770149889</v>
      </c>
      <c r="R30" s="83">
        <f t="shared" si="15"/>
        <v>0.14831500440922338</v>
      </c>
      <c r="S30" s="1"/>
      <c r="T30" s="1"/>
      <c r="U30" s="1"/>
      <c r="V30" s="1"/>
      <c r="W30" s="1"/>
      <c r="X30" s="1"/>
      <c r="Y30" s="1"/>
      <c r="Z30" s="1"/>
      <c r="AA30" s="1"/>
    </row>
    <row r="31" s="155" customFormat="1" ht="17.25">
      <c r="A31" s="156"/>
      <c r="B31" s="157"/>
      <c r="C31" s="158" t="s">
        <v>75</v>
      </c>
      <c r="D31" s="159" t="s">
        <v>76</v>
      </c>
      <c r="E31" s="160">
        <v>6700</v>
      </c>
      <c r="F31" s="161">
        <v>21192.900000000001</v>
      </c>
      <c r="G31" s="162">
        <v>6038.1999999999998</v>
      </c>
      <c r="H31" s="163">
        <v>388.19999999999999</v>
      </c>
      <c r="I31" s="162">
        <v>0</v>
      </c>
      <c r="J31" s="162">
        <v>0</v>
      </c>
      <c r="K31" s="162">
        <f t="shared" si="8"/>
        <v>-6700</v>
      </c>
      <c r="L31" s="162">
        <f t="shared" si="9"/>
        <v>-6038.1999999999998</v>
      </c>
      <c r="M31" s="164">
        <f t="shared" si="10"/>
        <v>-21192.900000000001</v>
      </c>
      <c r="N31" s="160">
        <f t="shared" si="11"/>
        <v>-388.19999999999999</v>
      </c>
      <c r="O31" s="165">
        <f t="shared" si="12"/>
        <v>0</v>
      </c>
      <c r="P31" s="166">
        <f t="shared" si="13"/>
        <v>0</v>
      </c>
      <c r="Q31" s="167">
        <f t="shared" si="14"/>
        <v>0</v>
      </c>
      <c r="R31" s="168">
        <f t="shared" si="15"/>
        <v>0</v>
      </c>
      <c r="S31" s="155"/>
      <c r="T31" s="155"/>
      <c r="U31" s="155"/>
      <c r="V31" s="155"/>
      <c r="W31" s="155"/>
      <c r="X31" s="155"/>
      <c r="Y31" s="155"/>
      <c r="Z31" s="155"/>
    </row>
    <row r="32" s="155" customFormat="1" ht="17.25">
      <c r="A32" s="156"/>
      <c r="B32" s="157"/>
      <c r="C32" s="169" t="s">
        <v>77</v>
      </c>
      <c r="D32" s="170" t="s">
        <v>78</v>
      </c>
      <c r="E32" s="160">
        <v>0</v>
      </c>
      <c r="F32" s="161">
        <v>159.09999999999999</v>
      </c>
      <c r="G32" s="162">
        <v>0</v>
      </c>
      <c r="H32" s="162">
        <v>0</v>
      </c>
      <c r="I32" s="162">
        <v>0</v>
      </c>
      <c r="J32" s="162">
        <v>0</v>
      </c>
      <c r="K32" s="162">
        <f t="shared" si="8"/>
        <v>0</v>
      </c>
      <c r="L32" s="171">
        <f t="shared" si="9"/>
        <v>0</v>
      </c>
      <c r="M32" s="160">
        <f t="shared" si="10"/>
        <v>-159.09999999999999</v>
      </c>
      <c r="N32" s="164">
        <f t="shared" si="11"/>
        <v>0</v>
      </c>
      <c r="O32" s="172" t="str">
        <f t="shared" si="12"/>
        <v/>
      </c>
      <c r="P32" s="173" t="str">
        <f t="shared" si="13"/>
        <v/>
      </c>
      <c r="Q32" s="166" t="str">
        <f t="shared" si="14"/>
        <v/>
      </c>
      <c r="R32" s="168">
        <f t="shared" si="15"/>
        <v>0</v>
      </c>
      <c r="S32" s="155"/>
      <c r="T32" s="155"/>
      <c r="U32" s="155"/>
      <c r="V32" s="155"/>
      <c r="W32" s="155"/>
      <c r="X32" s="155"/>
      <c r="Y32" s="155"/>
      <c r="Z32" s="155"/>
    </row>
    <row r="33" s="155" customFormat="1" ht="17.25">
      <c r="A33" s="156"/>
      <c r="B33" s="157"/>
      <c r="C33" s="158" t="s">
        <v>79</v>
      </c>
      <c r="D33" s="170" t="s">
        <v>80</v>
      </c>
      <c r="E33" s="160">
        <v>11879.67</v>
      </c>
      <c r="F33" s="161">
        <v>29223.799999999999</v>
      </c>
      <c r="G33" s="171">
        <v>7444.5</v>
      </c>
      <c r="H33" s="162">
        <v>2716.8000000000002</v>
      </c>
      <c r="I33" s="162">
        <v>7501.1499999999996</v>
      </c>
      <c r="J33" s="162">
        <v>2677.3299999999999</v>
      </c>
      <c r="K33" s="162">
        <f t="shared" si="8"/>
        <v>-4378.5200000000004</v>
      </c>
      <c r="L33" s="162">
        <f t="shared" si="9"/>
        <v>56.649999999999636</v>
      </c>
      <c r="M33" s="164">
        <f t="shared" si="10"/>
        <v>-21722.650000000001</v>
      </c>
      <c r="N33" s="160">
        <f t="shared" si="11"/>
        <v>-39.470000000000255</v>
      </c>
      <c r="O33" s="165">
        <f t="shared" si="12"/>
        <v>0.6314274723119413</v>
      </c>
      <c r="P33" s="166">
        <f t="shared" si="13"/>
        <v>0.98547187868080088</v>
      </c>
      <c r="Q33" s="167">
        <f t="shared" si="14"/>
        <v>1.007609644704144</v>
      </c>
      <c r="R33" s="168">
        <f t="shared" si="15"/>
        <v>0.25667948726722739</v>
      </c>
      <c r="S33" s="155"/>
      <c r="T33" s="155"/>
      <c r="U33" s="155"/>
      <c r="V33" s="155"/>
      <c r="W33" s="155"/>
      <c r="X33" s="155"/>
      <c r="Y33" s="155"/>
      <c r="Z33" s="155"/>
    </row>
    <row r="34" s="119" customFormat="1" ht="17.25">
      <c r="A34" s="156"/>
      <c r="B34" s="174"/>
      <c r="C34" s="122"/>
      <c r="D34" s="123" t="s">
        <v>56</v>
      </c>
      <c r="E34" s="124">
        <f>SUM(E26:E30)</f>
        <v>37553.159999999996</v>
      </c>
      <c r="F34" s="124">
        <f>SUM(F26:F30)</f>
        <v>147465.10000000001</v>
      </c>
      <c r="G34" s="125">
        <f>SUM(G26:G30)</f>
        <v>31721.900000000001</v>
      </c>
      <c r="H34" s="126">
        <f>SUM(H26:H30)</f>
        <v>9451.3999999999996</v>
      </c>
      <c r="I34" s="125">
        <f>SUM(I26:I30)</f>
        <v>24892.029999999999</v>
      </c>
      <c r="J34" s="126">
        <f>SUM(J26:J30)</f>
        <v>9238.5699999999997</v>
      </c>
      <c r="K34" s="125">
        <f t="shared" si="8"/>
        <v>-12661.129999999997</v>
      </c>
      <c r="L34" s="126">
        <f t="shared" si="9"/>
        <v>-6829.8700000000026</v>
      </c>
      <c r="M34" s="124">
        <f t="shared" si="10"/>
        <v>-122573.07000000001</v>
      </c>
      <c r="N34" s="146">
        <f t="shared" si="11"/>
        <v>-212.82999999999993</v>
      </c>
      <c r="O34" s="127">
        <f t="shared" si="12"/>
        <v>0.66284781360609868</v>
      </c>
      <c r="P34" s="147">
        <f t="shared" si="13"/>
        <v>0.97748164293120599</v>
      </c>
      <c r="Q34" s="127">
        <f t="shared" si="14"/>
        <v>0.78469543123205099</v>
      </c>
      <c r="R34" s="128">
        <f t="shared" si="15"/>
        <v>0.16879946509377472</v>
      </c>
      <c r="S34" s="119"/>
      <c r="T34" s="119"/>
      <c r="U34" s="119"/>
      <c r="V34" s="119"/>
      <c r="W34" s="119"/>
      <c r="X34" s="119"/>
      <c r="Y34" s="119"/>
      <c r="Z34" s="119"/>
      <c r="AA34" s="119"/>
    </row>
    <row r="35" ht="17.25">
      <c r="A35" s="104" t="s">
        <v>81</v>
      </c>
      <c r="B35" s="105" t="s">
        <v>39</v>
      </c>
      <c r="C35" s="130" t="s">
        <v>82</v>
      </c>
      <c r="D35" s="131" t="s">
        <v>83</v>
      </c>
      <c r="E35" s="108">
        <v>96013.880000000005</v>
      </c>
      <c r="F35" s="108">
        <v>306696.20000000001</v>
      </c>
      <c r="G35" s="64">
        <v>99750</v>
      </c>
      <c r="H35" s="63">
        <v>36900</v>
      </c>
      <c r="I35" s="109">
        <v>85724.25</v>
      </c>
      <c r="J35" s="63">
        <v>21121.279999999999</v>
      </c>
      <c r="K35" s="63">
        <f t="shared" si="8"/>
        <v>-10289.630000000005</v>
      </c>
      <c r="L35" s="63">
        <f t="shared" si="9"/>
        <v>-14025.75</v>
      </c>
      <c r="M35" s="132">
        <f t="shared" si="10"/>
        <v>-220971.95000000001</v>
      </c>
      <c r="N35" s="60">
        <f t="shared" si="11"/>
        <v>-15778.720000000001</v>
      </c>
      <c r="O35" s="68">
        <f t="shared" si="12"/>
        <v>0.89283184889518052</v>
      </c>
      <c r="P35" s="67">
        <f t="shared" si="13"/>
        <v>0.57239241192411916</v>
      </c>
      <c r="Q35" s="133">
        <f t="shared" si="14"/>
        <v>0.85939097744360904</v>
      </c>
      <c r="R35" s="69">
        <f t="shared" si="15"/>
        <v>0.27950867992495504</v>
      </c>
      <c r="S35" s="1"/>
      <c r="T35" s="1"/>
      <c r="U35" s="1"/>
      <c r="V35" s="1"/>
      <c r="W35" s="1"/>
      <c r="X35" s="1"/>
      <c r="Y35" s="1"/>
      <c r="Z35" s="1"/>
    </row>
    <row r="36" ht="34.5">
      <c r="A36" s="110"/>
      <c r="B36" s="111"/>
      <c r="C36" s="72" t="s">
        <v>84</v>
      </c>
      <c r="D36" s="153" t="s">
        <v>85</v>
      </c>
      <c r="E36" s="113">
        <v>69344.669999999998</v>
      </c>
      <c r="F36" s="136">
        <v>106559.10000000001</v>
      </c>
      <c r="G36" s="114">
        <v>25212.700000000001</v>
      </c>
      <c r="H36" s="114">
        <v>7616</v>
      </c>
      <c r="I36" s="114">
        <v>81898.339999999997</v>
      </c>
      <c r="J36" s="114">
        <v>27139.130000000001</v>
      </c>
      <c r="K36" s="114">
        <f t="shared" si="8"/>
        <v>12553.669999999998</v>
      </c>
      <c r="L36" s="115">
        <f t="shared" si="9"/>
        <v>56685.639999999999</v>
      </c>
      <c r="M36" s="113">
        <f t="shared" si="10"/>
        <v>-24660.760000000009</v>
      </c>
      <c r="N36" s="142">
        <f t="shared" si="11"/>
        <v>19523.130000000001</v>
      </c>
      <c r="O36" s="81">
        <f t="shared" si="12"/>
        <v>1.1810329474493138</v>
      </c>
      <c r="P36" s="80">
        <f t="shared" si="13"/>
        <v>3.5634361869747901</v>
      </c>
      <c r="Q36" s="81">
        <f t="shared" si="14"/>
        <v>3.2482970883721296</v>
      </c>
      <c r="R36" s="83">
        <f t="shared" si="15"/>
        <v>0.76857199432052248</v>
      </c>
      <c r="S36" s="1"/>
      <c r="T36" s="1"/>
      <c r="U36" s="1"/>
      <c r="V36" s="1"/>
      <c r="W36" s="1"/>
      <c r="X36" s="1"/>
      <c r="Y36" s="1"/>
      <c r="Z36" s="1"/>
    </row>
    <row r="37" ht="34.5">
      <c r="A37" s="110"/>
      <c r="B37" s="111"/>
      <c r="C37" s="84" t="s">
        <v>86</v>
      </c>
      <c r="D37" s="117" t="s">
        <v>87</v>
      </c>
      <c r="E37" s="113">
        <v>23831.450000000001</v>
      </c>
      <c r="F37" s="136">
        <v>58127.599999999999</v>
      </c>
      <c r="G37" s="115">
        <v>18970</v>
      </c>
      <c r="H37" s="114">
        <v>9580</v>
      </c>
      <c r="I37" s="152">
        <v>25021.880000000001</v>
      </c>
      <c r="J37" s="114">
        <v>7023.2299999999996</v>
      </c>
      <c r="K37" s="114">
        <f t="shared" si="8"/>
        <v>1190.4300000000003</v>
      </c>
      <c r="L37" s="114">
        <f t="shared" si="9"/>
        <v>6051.880000000001</v>
      </c>
      <c r="M37" s="142">
        <f t="shared" si="10"/>
        <v>-33105.720000000001</v>
      </c>
      <c r="N37" s="113">
        <f t="shared" si="11"/>
        <v>-2556.7700000000004</v>
      </c>
      <c r="O37" s="80">
        <f t="shared" si="12"/>
        <v>1.0499520591487299</v>
      </c>
      <c r="P37" s="81">
        <f t="shared" si="13"/>
        <v>0.73311377870563665</v>
      </c>
      <c r="Q37" s="82">
        <f t="shared" si="14"/>
        <v>1.3190237216657881</v>
      </c>
      <c r="R37" s="83">
        <f t="shared" si="15"/>
        <v>0.43046470179398427</v>
      </c>
      <c r="S37" s="1"/>
      <c r="T37" s="1"/>
      <c r="U37" s="1"/>
      <c r="V37" s="1"/>
      <c r="W37" s="1"/>
      <c r="X37" s="1"/>
      <c r="Y37" s="1"/>
      <c r="Z37" s="1"/>
    </row>
    <row r="38" ht="34.5">
      <c r="A38" s="110"/>
      <c r="B38" s="111"/>
      <c r="C38" s="72" t="s">
        <v>88</v>
      </c>
      <c r="D38" s="153" t="s">
        <v>89</v>
      </c>
      <c r="E38" s="113">
        <v>10778.75</v>
      </c>
      <c r="F38" s="136">
        <v>86367.300000000003</v>
      </c>
      <c r="G38" s="114">
        <v>4610</v>
      </c>
      <c r="H38" s="114">
        <v>0</v>
      </c>
      <c r="I38" s="114">
        <v>4341.3000000000002</v>
      </c>
      <c r="J38" s="114">
        <v>58.200000000000003</v>
      </c>
      <c r="K38" s="114">
        <f t="shared" si="8"/>
        <v>-6437.4499999999998</v>
      </c>
      <c r="L38" s="114">
        <f t="shared" si="9"/>
        <v>-268.69999999999982</v>
      </c>
      <c r="M38" s="113">
        <f t="shared" si="10"/>
        <v>-82026</v>
      </c>
      <c r="N38" s="113">
        <f t="shared" si="11"/>
        <v>58.200000000000003</v>
      </c>
      <c r="O38" s="81">
        <f t="shared" si="12"/>
        <v>0.40276469906065177</v>
      </c>
      <c r="P38" s="81" t="str">
        <f t="shared" si="13"/>
        <v/>
      </c>
      <c r="Q38" s="81">
        <f t="shared" si="14"/>
        <v>0.94171366594360095</v>
      </c>
      <c r="R38" s="83">
        <f t="shared" si="15"/>
        <v>0.050265551892903909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110"/>
      <c r="B39" s="111"/>
      <c r="C39" s="84" t="s">
        <v>90</v>
      </c>
      <c r="D39" s="117" t="s">
        <v>91</v>
      </c>
      <c r="E39" s="113">
        <v>1845.04</v>
      </c>
      <c r="F39" s="113">
        <v>3217.3000000000002</v>
      </c>
      <c r="G39" s="115">
        <v>2084.6999999999998</v>
      </c>
      <c r="H39" s="114">
        <v>2084.6999999999998</v>
      </c>
      <c r="I39" s="152">
        <v>1694.48</v>
      </c>
      <c r="J39" s="114">
        <v>-90.420000000000002</v>
      </c>
      <c r="K39" s="114">
        <f t="shared" si="8"/>
        <v>-150.55999999999995</v>
      </c>
      <c r="L39" s="114">
        <f t="shared" si="9"/>
        <v>-390.2199999999998</v>
      </c>
      <c r="M39" s="142">
        <f t="shared" si="10"/>
        <v>-1522.8200000000002</v>
      </c>
      <c r="N39" s="113">
        <f t="shared" si="11"/>
        <v>-2175.1199999999999</v>
      </c>
      <c r="O39" s="80">
        <f t="shared" si="12"/>
        <v>0.91839743311798117</v>
      </c>
      <c r="P39" s="81">
        <f t="shared" si="13"/>
        <v>-0.043373147215426684</v>
      </c>
      <c r="Q39" s="82">
        <f t="shared" si="14"/>
        <v>0.81281719192209922</v>
      </c>
      <c r="R39" s="83">
        <f t="shared" si="15"/>
        <v>0.52667764896030833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110"/>
      <c r="B40" s="111"/>
      <c r="C40" s="72" t="s">
        <v>92</v>
      </c>
      <c r="D40" s="117" t="s">
        <v>93</v>
      </c>
      <c r="E40" s="113">
        <v>222.68000000000001</v>
      </c>
      <c r="F40" s="113">
        <v>0</v>
      </c>
      <c r="G40" s="114">
        <v>0</v>
      </c>
      <c r="H40" s="114">
        <v>0</v>
      </c>
      <c r="I40" s="114">
        <v>890.32000000000005</v>
      </c>
      <c r="J40" s="114">
        <v>514.91999999999996</v>
      </c>
      <c r="K40" s="114">
        <f t="shared" si="8"/>
        <v>667.6400000000001</v>
      </c>
      <c r="L40" s="114">
        <f t="shared" si="9"/>
        <v>890.32000000000005</v>
      </c>
      <c r="M40" s="113">
        <f t="shared" si="10"/>
        <v>890.32000000000005</v>
      </c>
      <c r="N40" s="113">
        <f t="shared" si="11"/>
        <v>514.91999999999996</v>
      </c>
      <c r="O40" s="81">
        <f t="shared" si="12"/>
        <v>3.9982037003772231</v>
      </c>
      <c r="P40" s="81" t="str">
        <f t="shared" si="13"/>
        <v/>
      </c>
      <c r="Q40" s="81" t="str">
        <f t="shared" si="14"/>
        <v/>
      </c>
      <c r="R40" s="83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110"/>
      <c r="B41" s="111"/>
      <c r="C41" s="135" t="s">
        <v>69</v>
      </c>
      <c r="D41" s="153" t="s">
        <v>70</v>
      </c>
      <c r="E41" s="113">
        <v>490.85000000000002</v>
      </c>
      <c r="F41" s="136">
        <v>3460.9000000000001</v>
      </c>
      <c r="G41" s="114">
        <v>491</v>
      </c>
      <c r="H41" s="114">
        <v>204</v>
      </c>
      <c r="I41" s="114">
        <v>612.32000000000005</v>
      </c>
      <c r="J41" s="114">
        <v>314.25999999999999</v>
      </c>
      <c r="K41" s="114">
        <f t="shared" si="8"/>
        <v>121.47000000000003</v>
      </c>
      <c r="L41" s="115">
        <f t="shared" si="9"/>
        <v>121.32000000000005</v>
      </c>
      <c r="M41" s="113">
        <f t="shared" si="10"/>
        <v>-2848.5799999999999</v>
      </c>
      <c r="N41" s="113">
        <f t="shared" si="11"/>
        <v>110.25999999999999</v>
      </c>
      <c r="O41" s="81">
        <f t="shared" si="12"/>
        <v>1.2474686767851686</v>
      </c>
      <c r="P41" s="81">
        <f t="shared" si="13"/>
        <v>1.5404901960784314</v>
      </c>
      <c r="Q41" s="81">
        <f t="shared" si="14"/>
        <v>1.2470875763747455</v>
      </c>
      <c r="R41" s="83">
        <f t="shared" si="15"/>
        <v>0.17692507729203388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110"/>
      <c r="B42" s="111"/>
      <c r="C42" s="3" t="s">
        <v>94</v>
      </c>
      <c r="D42" s="153" t="s">
        <v>95</v>
      </c>
      <c r="E42" s="113">
        <v>45682.730000000003</v>
      </c>
      <c r="F42" s="136">
        <v>216854</v>
      </c>
      <c r="G42" s="115">
        <v>31853.799999999999</v>
      </c>
      <c r="H42" s="114">
        <v>17500</v>
      </c>
      <c r="I42" s="152">
        <v>70394.110000000001</v>
      </c>
      <c r="J42" s="114">
        <v>33998.640000000007</v>
      </c>
      <c r="K42" s="114">
        <f t="shared" si="8"/>
        <v>24711.379999999997</v>
      </c>
      <c r="L42" s="114">
        <f t="shared" si="9"/>
        <v>38540.309999999998</v>
      </c>
      <c r="M42" s="113">
        <f t="shared" si="10"/>
        <v>-146459.89000000001</v>
      </c>
      <c r="N42" s="113">
        <f t="shared" si="11"/>
        <v>16498.640000000007</v>
      </c>
      <c r="O42" s="80">
        <f t="shared" si="12"/>
        <v>1.5409348346738472</v>
      </c>
      <c r="P42" s="81">
        <f t="shared" si="13"/>
        <v>1.942779428571429</v>
      </c>
      <c r="Q42" s="82">
        <f t="shared" si="14"/>
        <v>2.2099124751207078</v>
      </c>
      <c r="R42" s="83">
        <f t="shared" si="15"/>
        <v>0.32461522499008549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110"/>
      <c r="B43" s="111"/>
      <c r="C43" s="135" t="s">
        <v>96</v>
      </c>
      <c r="D43" s="153" t="s">
        <v>97</v>
      </c>
      <c r="E43" s="113">
        <v>11201</v>
      </c>
      <c r="F43" s="136">
        <v>0</v>
      </c>
      <c r="G43" s="114">
        <v>0</v>
      </c>
      <c r="H43" s="114">
        <v>0</v>
      </c>
      <c r="I43" s="114">
        <v>5235.21</v>
      </c>
      <c r="J43" s="114">
        <v>0</v>
      </c>
      <c r="K43" s="114">
        <f t="shared" si="8"/>
        <v>-5965.79</v>
      </c>
      <c r="L43" s="114">
        <f t="shared" si="9"/>
        <v>5235.21</v>
      </c>
      <c r="M43" s="113">
        <f t="shared" si="10"/>
        <v>5235.21</v>
      </c>
      <c r="N43" s="142">
        <f t="shared" si="11"/>
        <v>0</v>
      </c>
      <c r="O43" s="81">
        <f t="shared" si="12"/>
        <v>0.46738773323810373</v>
      </c>
      <c r="P43" s="81" t="str">
        <f t="shared" si="13"/>
        <v/>
      </c>
      <c r="Q43" s="81" t="str">
        <f t="shared" si="14"/>
        <v/>
      </c>
      <c r="R43" s="83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110"/>
      <c r="B44" s="111"/>
      <c r="C44" s="3" t="s">
        <v>98</v>
      </c>
      <c r="D44" s="153" t="s">
        <v>99</v>
      </c>
      <c r="E44" s="113">
        <v>20505.720000000001</v>
      </c>
      <c r="F44" s="136">
        <v>101764.89999999999</v>
      </c>
      <c r="G44" s="114">
        <v>14200</v>
      </c>
      <c r="H44" s="114">
        <v>6100</v>
      </c>
      <c r="I44" s="114">
        <v>36023.199999999997</v>
      </c>
      <c r="J44" s="114">
        <v>27119.689999999999</v>
      </c>
      <c r="K44" s="114">
        <f t="shared" si="8"/>
        <v>15517.479999999996</v>
      </c>
      <c r="L44" s="114">
        <f t="shared" si="9"/>
        <v>21823.199999999997</v>
      </c>
      <c r="M44" s="113">
        <f t="shared" si="10"/>
        <v>-65741.699999999997</v>
      </c>
      <c r="N44" s="113">
        <f t="shared" si="11"/>
        <v>21019.689999999999</v>
      </c>
      <c r="O44" s="81">
        <f t="shared" si="12"/>
        <v>1.7567390952378164</v>
      </c>
      <c r="P44" s="81">
        <f t="shared" si="13"/>
        <v>4.4458508196721311</v>
      </c>
      <c r="Q44" s="82">
        <f t="shared" si="14"/>
        <v>2.5368450704225349</v>
      </c>
      <c r="R44" s="83">
        <f t="shared" si="15"/>
        <v>0.35398452708153794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110"/>
      <c r="B45" s="111"/>
      <c r="C45" s="135" t="s">
        <v>100</v>
      </c>
      <c r="D45" s="154" t="s">
        <v>101</v>
      </c>
      <c r="E45" s="113">
        <v>3764.7399999999998</v>
      </c>
      <c r="F45" s="136">
        <v>0</v>
      </c>
      <c r="G45" s="114">
        <v>0</v>
      </c>
      <c r="H45" s="114">
        <v>0</v>
      </c>
      <c r="I45" s="114">
        <v>304.58999999999997</v>
      </c>
      <c r="J45" s="114">
        <v>0</v>
      </c>
      <c r="K45" s="114">
        <f t="shared" si="8"/>
        <v>-3460.1499999999996</v>
      </c>
      <c r="L45" s="114">
        <f t="shared" si="9"/>
        <v>304.58999999999997</v>
      </c>
      <c r="M45" s="113">
        <f t="shared" si="10"/>
        <v>304.58999999999997</v>
      </c>
      <c r="N45" s="142">
        <f t="shared" si="11"/>
        <v>0</v>
      </c>
      <c r="O45" s="81">
        <f t="shared" si="12"/>
        <v>0.080905985539506051</v>
      </c>
      <c r="P45" s="81" t="str">
        <f t="shared" si="13"/>
        <v/>
      </c>
      <c r="Q45" s="81" t="str">
        <f t="shared" si="14"/>
        <v/>
      </c>
      <c r="R45" s="83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110"/>
      <c r="B46" s="111"/>
      <c r="C46" s="84" t="s">
        <v>102</v>
      </c>
      <c r="D46" s="175" t="s">
        <v>103</v>
      </c>
      <c r="E46" s="136">
        <v>1850.96</v>
      </c>
      <c r="F46" s="136">
        <v>8380.6000000000004</v>
      </c>
      <c r="G46" s="115">
        <v>2093.8000000000002</v>
      </c>
      <c r="H46" s="114">
        <v>2093.8000000000002</v>
      </c>
      <c r="I46" s="152">
        <v>4021.1700000000001</v>
      </c>
      <c r="J46" s="114">
        <v>2380.3299999999999</v>
      </c>
      <c r="K46" s="114">
        <f t="shared" si="8"/>
        <v>2170.21</v>
      </c>
      <c r="L46" s="114">
        <f t="shared" si="9"/>
        <v>1927.3699999999999</v>
      </c>
      <c r="M46" s="142">
        <f t="shared" si="10"/>
        <v>-4359.4300000000003</v>
      </c>
      <c r="N46" s="113">
        <f t="shared" si="11"/>
        <v>286.52999999999975</v>
      </c>
      <c r="O46" s="80">
        <f t="shared" si="12"/>
        <v>2.1724780654363141</v>
      </c>
      <c r="P46" s="81">
        <f t="shared" si="13"/>
        <v>1.1368468812685069</v>
      </c>
      <c r="Q46" s="81">
        <f t="shared" si="14"/>
        <v>1.920512942974496</v>
      </c>
      <c r="R46" s="83">
        <f t="shared" si="15"/>
        <v>0.47981886738419682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110"/>
      <c r="B47" s="111"/>
      <c r="C47" s="84" t="s">
        <v>104</v>
      </c>
      <c r="D47" s="112" t="s">
        <v>105</v>
      </c>
      <c r="E47" s="113">
        <v>17408.400000000001</v>
      </c>
      <c r="F47" s="136">
        <v>77364.100000000006</v>
      </c>
      <c r="G47" s="114">
        <v>19500</v>
      </c>
      <c r="H47" s="115">
        <v>8200</v>
      </c>
      <c r="I47" s="114">
        <v>28321.709999999999</v>
      </c>
      <c r="J47" s="114">
        <v>11114.960000000001</v>
      </c>
      <c r="K47" s="114">
        <f t="shared" si="8"/>
        <v>10913.309999999998</v>
      </c>
      <c r="L47" s="115">
        <f t="shared" si="9"/>
        <v>8821.7099999999991</v>
      </c>
      <c r="M47" s="113">
        <f t="shared" si="10"/>
        <v>-49042.390000000007</v>
      </c>
      <c r="N47" s="142">
        <f t="shared" si="11"/>
        <v>2914.9600000000009</v>
      </c>
      <c r="O47" s="81">
        <f t="shared" si="12"/>
        <v>1.6268990832012131</v>
      </c>
      <c r="P47" s="80">
        <f t="shared" si="13"/>
        <v>1.3554829268292683</v>
      </c>
      <c r="Q47" s="81">
        <f t="shared" si="14"/>
        <v>1.4523953846153845</v>
      </c>
      <c r="R47" s="83">
        <f t="shared" si="15"/>
        <v>0.36608336424775828</v>
      </c>
      <c r="S47" s="1"/>
      <c r="T47" s="1"/>
      <c r="U47" s="1"/>
      <c r="V47" s="1"/>
      <c r="W47" s="1"/>
      <c r="X47" s="1"/>
      <c r="Y47" s="1"/>
      <c r="Z47" s="1"/>
    </row>
    <row r="48" s="119" customFormat="1" ht="17.25">
      <c r="A48" s="120"/>
      <c r="B48" s="174"/>
      <c r="C48" s="122"/>
      <c r="D48" s="145" t="s">
        <v>56</v>
      </c>
      <c r="E48" s="176">
        <f>SUM(E35:E47)</f>
        <v>302940.87000000005</v>
      </c>
      <c r="F48" s="176">
        <f>SUM(F35:F47)</f>
        <v>968792.00000000012</v>
      </c>
      <c r="G48" s="177">
        <f>SUM(G35:G47)</f>
        <v>218766</v>
      </c>
      <c r="H48" s="125">
        <f>SUM(H35:H47)</f>
        <v>90278.5</v>
      </c>
      <c r="I48" s="126">
        <f>SUM(I35:I47)</f>
        <v>344482.88000000006</v>
      </c>
      <c r="J48" s="125">
        <f>SUM(J35:J47)</f>
        <v>130694.22000000002</v>
      </c>
      <c r="K48" s="126">
        <f>SUM(K35:K47)</f>
        <v>41542.00999999998</v>
      </c>
      <c r="L48" s="177">
        <f t="shared" si="9"/>
        <v>125716.88000000006</v>
      </c>
      <c r="M48" s="178">
        <f>SUM(M35:M47)</f>
        <v>-624309.12000000011</v>
      </c>
      <c r="N48" s="176">
        <f>SUM(N35:N47)</f>
        <v>40415.720000000001</v>
      </c>
      <c r="O48" s="147">
        <f t="shared" si="12"/>
        <v>1.137129103775268</v>
      </c>
      <c r="P48" s="127">
        <f t="shared" si="13"/>
        <v>1.4476782401125408</v>
      </c>
      <c r="Q48" s="148">
        <f t="shared" si="14"/>
        <v>1.5746637045976069</v>
      </c>
      <c r="R48" s="128">
        <f t="shared" si="15"/>
        <v>0.35557981486222018</v>
      </c>
      <c r="S48" s="119"/>
      <c r="T48" s="119"/>
      <c r="U48" s="119"/>
      <c r="V48" s="119"/>
      <c r="W48" s="119"/>
      <c r="X48" s="119"/>
      <c r="Y48" s="119"/>
      <c r="Z48" s="119"/>
      <c r="AA48" s="119"/>
    </row>
    <row r="49" ht="17.25">
      <c r="A49" s="179" t="s">
        <v>106</v>
      </c>
      <c r="B49" s="180" t="s">
        <v>107</v>
      </c>
      <c r="C49" s="149" t="s">
        <v>108</v>
      </c>
      <c r="D49" s="181" t="s">
        <v>109</v>
      </c>
      <c r="E49" s="60">
        <v>117347.14</v>
      </c>
      <c r="F49" s="108">
        <f>672351.5-9496.39</f>
        <v>662855.10999999999</v>
      </c>
      <c r="G49" s="62">
        <f>181369.4-949.64</f>
        <v>180419.75999999998</v>
      </c>
      <c r="H49" s="64">
        <f>60215.4-949.64</f>
        <v>59265.760000000002</v>
      </c>
      <c r="I49" s="63">
        <v>174803.98000000001</v>
      </c>
      <c r="J49" s="63">
        <v>59701.300000000003</v>
      </c>
      <c r="K49" s="63">
        <f t="shared" ref="K49:K83" si="16">I49-E49</f>
        <v>57456.840000000011</v>
      </c>
      <c r="L49" s="63">
        <f t="shared" si="9"/>
        <v>-5615.7799999999697</v>
      </c>
      <c r="M49" s="60">
        <f t="shared" ref="M49:M83" si="17">I49-F49</f>
        <v>-488051.13</v>
      </c>
      <c r="N49" s="60">
        <f t="shared" ref="N49:N83" si="18">J49-H49</f>
        <v>435.54000000000087</v>
      </c>
      <c r="O49" s="67">
        <f t="shared" si="12"/>
        <v>1.4896313621277861</v>
      </c>
      <c r="P49" s="67">
        <f t="shared" si="13"/>
        <v>1.0073489313222339</v>
      </c>
      <c r="Q49" s="67">
        <f t="shared" si="14"/>
        <v>0.96887380850079852</v>
      </c>
      <c r="R49" s="69">
        <f t="shared" si="15"/>
        <v>0.26371370962200175</v>
      </c>
      <c r="S49" s="1"/>
      <c r="T49" s="1"/>
      <c r="U49" s="1"/>
      <c r="V49" s="1"/>
      <c r="W49" s="1"/>
      <c r="X49" s="1"/>
      <c r="Y49" s="1"/>
      <c r="Z49" s="1"/>
    </row>
    <row r="50" ht="17.25">
      <c r="A50" s="110"/>
      <c r="B50" s="182"/>
      <c r="C50" s="72" t="s">
        <v>110</v>
      </c>
      <c r="D50" s="175" t="s">
        <v>111</v>
      </c>
      <c r="E50" s="113">
        <v>85382.350000000006</v>
      </c>
      <c r="F50" s="136">
        <f>494433.2-6983.53</f>
        <v>487449.66999999998</v>
      </c>
      <c r="G50" s="114">
        <f>138363.4-698.35</f>
        <v>137665.04999999999</v>
      </c>
      <c r="H50" s="114">
        <f>46617.3-698.35</f>
        <v>45918.950000000004</v>
      </c>
      <c r="I50" s="114">
        <v>125921.23</v>
      </c>
      <c r="J50" s="114">
        <v>39838.939999999995</v>
      </c>
      <c r="K50" s="114">
        <f t="shared" si="16"/>
        <v>40538.87999999999</v>
      </c>
      <c r="L50" s="114">
        <f t="shared" si="9"/>
        <v>-11743.819999999992</v>
      </c>
      <c r="M50" s="113">
        <f t="shared" si="17"/>
        <v>-361528.44</v>
      </c>
      <c r="N50" s="113">
        <f t="shared" si="18"/>
        <v>-6080.0100000000093</v>
      </c>
      <c r="O50" s="81">
        <f t="shared" si="12"/>
        <v>1.4747922726418281</v>
      </c>
      <c r="P50" s="81">
        <f t="shared" si="13"/>
        <v>0.8675925734364569</v>
      </c>
      <c r="Q50" s="81">
        <f t="shared" si="14"/>
        <v>0.91469279966120676</v>
      </c>
      <c r="R50" s="83">
        <f t="shared" si="15"/>
        <v>0.25832662888047497</v>
      </c>
      <c r="S50" s="1"/>
      <c r="T50" s="1"/>
      <c r="U50" s="1"/>
      <c r="V50" s="1"/>
      <c r="W50" s="1"/>
      <c r="X50" s="1"/>
      <c r="Y50" s="1"/>
      <c r="Z50" s="1"/>
    </row>
    <row r="51" ht="17.25">
      <c r="A51" s="110"/>
      <c r="B51" s="182"/>
      <c r="C51" s="72" t="s">
        <v>112</v>
      </c>
      <c r="D51" s="175" t="s">
        <v>113</v>
      </c>
      <c r="E51" s="113">
        <v>666990.29000000004</v>
      </c>
      <c r="F51" s="136">
        <f>4658773.5-65801.97</f>
        <v>4592971.5300000003</v>
      </c>
      <c r="G51" s="114">
        <f>1062903.4-6580.2</f>
        <v>1056323.2</v>
      </c>
      <c r="H51" s="114">
        <f>378469.4-6580.2</f>
        <v>371889.20000000001</v>
      </c>
      <c r="I51" s="114">
        <v>918423.91000000003</v>
      </c>
      <c r="J51" s="114">
        <v>303988.01000000001</v>
      </c>
      <c r="K51" s="114">
        <f t="shared" si="16"/>
        <v>251433.62</v>
      </c>
      <c r="L51" s="114">
        <f t="shared" si="9"/>
        <v>-137899.28999999992</v>
      </c>
      <c r="M51" s="113">
        <f t="shared" si="17"/>
        <v>-3674547.6200000001</v>
      </c>
      <c r="N51" s="116">
        <f t="shared" si="18"/>
        <v>-67901.190000000002</v>
      </c>
      <c r="O51" s="81">
        <f t="shared" si="12"/>
        <v>1.376967436812311</v>
      </c>
      <c r="P51" s="81">
        <f t="shared" si="13"/>
        <v>0.81741553667059974</v>
      </c>
      <c r="Q51" s="81">
        <f t="shared" si="14"/>
        <v>0.86945350627535212</v>
      </c>
      <c r="R51" s="83">
        <f t="shared" si="15"/>
        <v>0.19996290070624495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110"/>
      <c r="B52" s="182"/>
      <c r="C52" s="72"/>
      <c r="D52" s="183" t="s">
        <v>114</v>
      </c>
      <c r="E52" s="184">
        <f>E49+E50+E51</f>
        <v>869719.78000000003</v>
      </c>
      <c r="F52" s="185">
        <f>F49+F50+F51</f>
        <v>5743276.3100000005</v>
      </c>
      <c r="G52" s="186">
        <f>G51+G50+G49</f>
        <v>1374408.01</v>
      </c>
      <c r="H52" s="187">
        <f>H51+H50+H49</f>
        <v>477073.91000000003</v>
      </c>
      <c r="I52" s="187">
        <f>I51+I50+I49</f>
        <v>1219149.1200000001</v>
      </c>
      <c r="J52" s="187">
        <f>J51+J50+J49</f>
        <v>403528.25</v>
      </c>
      <c r="K52" s="187">
        <f t="shared" si="16"/>
        <v>349429.34000000008</v>
      </c>
      <c r="L52" s="187">
        <f t="shared" si="9"/>
        <v>-155258.8899999999</v>
      </c>
      <c r="M52" s="184">
        <f t="shared" si="17"/>
        <v>-4524127.1900000004</v>
      </c>
      <c r="N52" s="188">
        <f t="shared" si="18"/>
        <v>-73545.660000000033</v>
      </c>
      <c r="O52" s="189">
        <f t="shared" si="12"/>
        <v>1.4017723271741618</v>
      </c>
      <c r="P52" s="189">
        <f t="shared" si="13"/>
        <v>0.84584011311790241</v>
      </c>
      <c r="Q52" s="189">
        <f t="shared" si="14"/>
        <v>0.88703580823863226</v>
      </c>
      <c r="R52" s="190">
        <f t="shared" si="15"/>
        <v>0.21227415401854485</v>
      </c>
      <c r="S52" s="1"/>
      <c r="T52" s="1"/>
      <c r="U52" s="1"/>
      <c r="V52" s="1"/>
      <c r="W52" s="1"/>
      <c r="X52" s="1"/>
      <c r="Y52" s="1"/>
      <c r="Z52" s="1"/>
      <c r="AA52" s="1"/>
    </row>
    <row r="53" ht="34.5">
      <c r="A53" s="179"/>
      <c r="B53" s="182"/>
      <c r="C53" s="191" t="s">
        <v>115</v>
      </c>
      <c r="D53" s="192" t="s">
        <v>116</v>
      </c>
      <c r="E53" s="113">
        <v>550.16999999999996</v>
      </c>
      <c r="F53" s="193">
        <v>2266.5999999999999</v>
      </c>
      <c r="G53" s="194">
        <v>600</v>
      </c>
      <c r="H53" s="115">
        <v>200</v>
      </c>
      <c r="I53" s="194">
        <v>380.75</v>
      </c>
      <c r="J53" s="194">
        <v>113.37</v>
      </c>
      <c r="K53" s="195">
        <f t="shared" si="16"/>
        <v>-169.41999999999996</v>
      </c>
      <c r="L53" s="195">
        <f t="shared" si="9"/>
        <v>-219.25</v>
      </c>
      <c r="M53" s="196">
        <f t="shared" si="17"/>
        <v>-1885.8499999999999</v>
      </c>
      <c r="N53" s="197">
        <f t="shared" si="18"/>
        <v>-86.629999999999995</v>
      </c>
      <c r="O53" s="94">
        <f t="shared" si="12"/>
        <v>0.69205881818347059</v>
      </c>
      <c r="P53" s="94">
        <f t="shared" si="13"/>
        <v>0.56685000000000008</v>
      </c>
      <c r="Q53" s="94">
        <f t="shared" si="14"/>
        <v>0.63458333333333339</v>
      </c>
      <c r="R53" s="95">
        <f t="shared" si="15"/>
        <v>0.16798288184946616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98"/>
      <c r="B54" s="182"/>
      <c r="C54" s="84" t="s">
        <v>117</v>
      </c>
      <c r="D54" s="151" t="s">
        <v>118</v>
      </c>
      <c r="E54" s="113">
        <v>0</v>
      </c>
      <c r="F54" s="113">
        <v>11763.299999999999</v>
      </c>
      <c r="G54" s="114">
        <v>11763.299999999999</v>
      </c>
      <c r="H54" s="114">
        <v>0</v>
      </c>
      <c r="I54" s="114">
        <v>11728.389999999999</v>
      </c>
      <c r="J54" s="114">
        <v>5981.9700000000003</v>
      </c>
      <c r="K54" s="114">
        <f t="shared" si="16"/>
        <v>11728.389999999999</v>
      </c>
      <c r="L54" s="114">
        <f t="shared" si="9"/>
        <v>-34.909999999999854</v>
      </c>
      <c r="M54" s="113">
        <f t="shared" si="17"/>
        <v>-34.909999999999854</v>
      </c>
      <c r="N54" s="116">
        <f t="shared" si="18"/>
        <v>5981.9700000000003</v>
      </c>
      <c r="O54" s="81" t="str">
        <f t="shared" si="12"/>
        <v/>
      </c>
      <c r="P54" s="81" t="str">
        <f t="shared" si="13"/>
        <v/>
      </c>
      <c r="Q54" s="81">
        <f t="shared" si="14"/>
        <v>0.9970322953592955</v>
      </c>
      <c r="R54" s="83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99"/>
      <c r="B55" s="182"/>
      <c r="C55" s="200" t="s">
        <v>119</v>
      </c>
      <c r="D55" s="151" t="s">
        <v>103</v>
      </c>
      <c r="E55" s="113">
        <v>24189.369999999999</v>
      </c>
      <c r="F55" s="61">
        <v>121884.89999999999</v>
      </c>
      <c r="G55" s="201">
        <f>26600+400</f>
        <v>27000</v>
      </c>
      <c r="H55" s="141">
        <f>10000+400</f>
        <v>10400</v>
      </c>
      <c r="I55" s="115">
        <v>30383.150000000001</v>
      </c>
      <c r="J55" s="62">
        <v>9842.9300000000003</v>
      </c>
      <c r="K55" s="62">
        <f t="shared" si="16"/>
        <v>6193.7800000000025</v>
      </c>
      <c r="L55" s="62">
        <f t="shared" si="9"/>
        <v>3383.1500000000015</v>
      </c>
      <c r="M55" s="65">
        <f t="shared" si="17"/>
        <v>-91501.75</v>
      </c>
      <c r="N55" s="202">
        <f t="shared" si="18"/>
        <v>-557.06999999999971</v>
      </c>
      <c r="O55" s="203">
        <f t="shared" si="12"/>
        <v>1.2560537955308468</v>
      </c>
      <c r="P55" s="203">
        <f t="shared" si="13"/>
        <v>0.946435576923077</v>
      </c>
      <c r="Q55" s="203">
        <f t="shared" si="14"/>
        <v>1.1253018518518518</v>
      </c>
      <c r="R55" s="204">
        <f t="shared" si="15"/>
        <v>0.2492773920313345</v>
      </c>
      <c r="S55" s="1"/>
      <c r="T55" s="1"/>
      <c r="U55" s="1"/>
      <c r="V55" s="1"/>
      <c r="W55" s="1"/>
      <c r="X55" s="1"/>
      <c r="Y55" s="1"/>
      <c r="Z55" s="1"/>
    </row>
    <row r="56" s="119" customFormat="1" ht="17.25">
      <c r="A56" s="120"/>
      <c r="B56" s="205"/>
      <c r="C56" s="122"/>
      <c r="D56" s="123" t="s">
        <v>56</v>
      </c>
      <c r="E56" s="124">
        <f>E52+E53+E54+E55</f>
        <v>894459.32000000007</v>
      </c>
      <c r="F56" s="124">
        <f>F52+F53+F54+F55</f>
        <v>5879191.1100000003</v>
      </c>
      <c r="G56" s="125">
        <f>G52+G53+G54+G55</f>
        <v>1413771.3100000001</v>
      </c>
      <c r="H56" s="125">
        <f>H52+H53+H54+H55</f>
        <v>487673.91000000003</v>
      </c>
      <c r="I56" s="125">
        <f>I52+I53+I54+I55</f>
        <v>1261641.4099999999</v>
      </c>
      <c r="J56" s="125">
        <f>J52+J53+J54+J55</f>
        <v>419466.51999999996</v>
      </c>
      <c r="K56" s="125">
        <f t="shared" si="16"/>
        <v>367182.08999999985</v>
      </c>
      <c r="L56" s="126">
        <f t="shared" si="9"/>
        <v>-152129.90000000014</v>
      </c>
      <c r="M56" s="124">
        <f t="shared" si="17"/>
        <v>-4617549.7000000002</v>
      </c>
      <c r="N56" s="146">
        <f t="shared" si="18"/>
        <v>-68207.390000000072</v>
      </c>
      <c r="O56" s="127">
        <f t="shared" si="12"/>
        <v>1.4105073107181665</v>
      </c>
      <c r="P56" s="147">
        <f t="shared" si="13"/>
        <v>0.86013729953279627</v>
      </c>
      <c r="Q56" s="127">
        <f t="shared" si="14"/>
        <v>0.89239426566097158</v>
      </c>
      <c r="R56" s="128">
        <f t="shared" si="15"/>
        <v>0.21459438660771818</v>
      </c>
      <c r="S56" s="119"/>
      <c r="T56" s="119"/>
      <c r="U56" s="119"/>
      <c r="V56" s="119"/>
      <c r="W56" s="119"/>
      <c r="X56" s="119"/>
      <c r="Y56" s="119"/>
      <c r="Z56" s="119"/>
      <c r="AA56" s="119"/>
    </row>
    <row r="57" ht="17.25">
      <c r="A57" s="129">
        <v>991</v>
      </c>
      <c r="B57" s="105" t="s">
        <v>120</v>
      </c>
      <c r="C57" s="130" t="s">
        <v>69</v>
      </c>
      <c r="D57" s="131" t="s">
        <v>121</v>
      </c>
      <c r="E57" s="108">
        <v>15756.35</v>
      </c>
      <c r="F57" s="108">
        <v>80120.600000000006</v>
      </c>
      <c r="G57" s="64">
        <v>17620.599999999999</v>
      </c>
      <c r="H57" s="63">
        <v>6500</v>
      </c>
      <c r="I57" s="109">
        <v>19279.630000000001</v>
      </c>
      <c r="J57" s="206">
        <v>7162.7800000000007</v>
      </c>
      <c r="K57" s="63">
        <f t="shared" si="16"/>
        <v>3523.2800000000007</v>
      </c>
      <c r="L57" s="63">
        <f t="shared" si="9"/>
        <v>1659.0300000000025</v>
      </c>
      <c r="M57" s="132">
        <f t="shared" si="17"/>
        <v>-60840.970000000001</v>
      </c>
      <c r="N57" s="60">
        <f t="shared" si="18"/>
        <v>662.78000000000065</v>
      </c>
      <c r="O57" s="68">
        <f t="shared" si="12"/>
        <v>1.2236101635213739</v>
      </c>
      <c r="P57" s="67">
        <f t="shared" si="13"/>
        <v>1.101966153846154</v>
      </c>
      <c r="Q57" s="133">
        <f t="shared" si="14"/>
        <v>1.0941528665312192</v>
      </c>
      <c r="R57" s="69">
        <f t="shared" si="15"/>
        <v>0.24063262132335503</v>
      </c>
      <c r="S57" s="1"/>
      <c r="T57" s="1"/>
      <c r="U57" s="1"/>
      <c r="V57" s="1"/>
      <c r="W57" s="1"/>
      <c r="X57" s="1"/>
      <c r="Y57" s="1"/>
      <c r="Z57" s="1"/>
    </row>
    <row r="58" ht="17.25">
      <c r="A58" s="134"/>
      <c r="B58" s="111"/>
      <c r="C58" s="72" t="s">
        <v>122</v>
      </c>
      <c r="D58" s="112" t="s">
        <v>123</v>
      </c>
      <c r="E58" s="113">
        <v>1813.8399999999999</v>
      </c>
      <c r="F58" s="136">
        <v>0</v>
      </c>
      <c r="G58" s="114">
        <v>0</v>
      </c>
      <c r="H58" s="115">
        <v>0</v>
      </c>
      <c r="I58" s="114">
        <v>0</v>
      </c>
      <c r="J58" s="114">
        <v>0</v>
      </c>
      <c r="K58" s="115">
        <f t="shared" si="16"/>
        <v>-1813.8399999999999</v>
      </c>
      <c r="L58" s="114">
        <f t="shared" si="9"/>
        <v>0</v>
      </c>
      <c r="M58" s="113">
        <f t="shared" si="17"/>
        <v>0</v>
      </c>
      <c r="N58" s="142">
        <f t="shared" si="18"/>
        <v>0</v>
      </c>
      <c r="O58" s="81">
        <f t="shared" si="12"/>
        <v>0</v>
      </c>
      <c r="P58" s="80" t="str">
        <f t="shared" si="13"/>
        <v/>
      </c>
      <c r="Q58" s="81" t="str">
        <f t="shared" si="14"/>
        <v/>
      </c>
      <c r="R58" s="83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19" customFormat="1" ht="17.25">
      <c r="A59" s="207"/>
      <c r="B59" s="121"/>
      <c r="C59" s="144"/>
      <c r="D59" s="145" t="s">
        <v>56</v>
      </c>
      <c r="E59" s="124">
        <f>SUM(E57:E58)</f>
        <v>17570.189999999999</v>
      </c>
      <c r="F59" s="124">
        <f>SUM(F57:F58)</f>
        <v>80120.600000000006</v>
      </c>
      <c r="G59" s="126">
        <f>SUM(G57:G58)</f>
        <v>17620.599999999999</v>
      </c>
      <c r="H59" s="125">
        <f>SUM(H57:H58)</f>
        <v>6500</v>
      </c>
      <c r="I59" s="125">
        <f>SUM(I57:I58)</f>
        <v>19279.630000000001</v>
      </c>
      <c r="J59" s="125">
        <f>SUM(J57:J58)</f>
        <v>7162.7800000000007</v>
      </c>
      <c r="K59" s="125">
        <f t="shared" si="16"/>
        <v>1709.4400000000023</v>
      </c>
      <c r="L59" s="126">
        <f t="shared" si="9"/>
        <v>1659.0300000000025</v>
      </c>
      <c r="M59" s="124">
        <f t="shared" si="17"/>
        <v>-60840.970000000001</v>
      </c>
      <c r="N59" s="124">
        <f t="shared" si="18"/>
        <v>662.78000000000065</v>
      </c>
      <c r="O59" s="147">
        <f t="shared" si="12"/>
        <v>1.0972920611558556</v>
      </c>
      <c r="P59" s="127">
        <f t="shared" si="13"/>
        <v>1.101966153846154</v>
      </c>
      <c r="Q59" s="148">
        <f t="shared" si="14"/>
        <v>1.0941528665312192</v>
      </c>
      <c r="R59" s="128">
        <f t="shared" si="15"/>
        <v>0.24063262132335503</v>
      </c>
      <c r="S59" s="119"/>
      <c r="T59" s="119"/>
      <c r="U59" s="119"/>
      <c r="V59" s="119"/>
      <c r="W59" s="119"/>
      <c r="X59" s="119"/>
      <c r="Y59" s="119"/>
      <c r="Z59" s="119"/>
      <c r="AA59" s="119"/>
    </row>
    <row r="60" ht="17.25">
      <c r="A60" s="179" t="s">
        <v>124</v>
      </c>
      <c r="B60" s="105" t="s">
        <v>125</v>
      </c>
      <c r="C60" s="149" t="s">
        <v>126</v>
      </c>
      <c r="D60" s="150" t="s">
        <v>127</v>
      </c>
      <c r="E60" s="60">
        <v>29532.779999999999</v>
      </c>
      <c r="F60" s="108">
        <v>3503</v>
      </c>
      <c r="G60" s="63">
        <v>798.79999999999995</v>
      </c>
      <c r="H60" s="64">
        <v>193.19999999999999</v>
      </c>
      <c r="I60" s="63">
        <v>827.51999999999998</v>
      </c>
      <c r="J60" s="63">
        <v>223.28999999999999</v>
      </c>
      <c r="K60" s="63">
        <f t="shared" si="16"/>
        <v>-28705.259999999998</v>
      </c>
      <c r="L60" s="63">
        <f t="shared" si="9"/>
        <v>28.720000000000027</v>
      </c>
      <c r="M60" s="132">
        <f t="shared" si="17"/>
        <v>-2675.48</v>
      </c>
      <c r="N60" s="60">
        <f t="shared" si="18"/>
        <v>30.090000000000003</v>
      </c>
      <c r="O60" s="67">
        <f t="shared" si="12"/>
        <v>0.028020389546801892</v>
      </c>
      <c r="P60" s="68">
        <f t="shared" si="13"/>
        <v>1.1557453416149068</v>
      </c>
      <c r="Q60" s="67">
        <f t="shared" si="14"/>
        <v>1.0359539308963446</v>
      </c>
      <c r="R60" s="69">
        <f t="shared" si="15"/>
        <v>0.23623180131316016</v>
      </c>
      <c r="S60" s="1"/>
      <c r="T60" s="1"/>
      <c r="U60" s="1"/>
      <c r="V60" s="1"/>
      <c r="W60" s="1"/>
      <c r="X60" s="1"/>
      <c r="Y60" s="1"/>
      <c r="Z60" s="1"/>
    </row>
    <row r="61" ht="17.25">
      <c r="A61" s="110"/>
      <c r="B61" s="111"/>
      <c r="C61" s="84" t="s">
        <v>104</v>
      </c>
      <c r="D61" s="175" t="s">
        <v>128</v>
      </c>
      <c r="E61" s="113">
        <v>5703.0200000000004</v>
      </c>
      <c r="F61" s="136">
        <v>62240.599999999999</v>
      </c>
      <c r="G61" s="114">
        <v>2100</v>
      </c>
      <c r="H61" s="118">
        <v>1500</v>
      </c>
      <c r="I61" s="114">
        <v>53540.230000000003</v>
      </c>
      <c r="J61" s="114">
        <v>5312.9499999999998</v>
      </c>
      <c r="K61" s="114">
        <f t="shared" si="16"/>
        <v>47837.210000000006</v>
      </c>
      <c r="L61" s="114">
        <f t="shared" si="9"/>
        <v>51440.230000000003</v>
      </c>
      <c r="M61" s="113">
        <f t="shared" si="17"/>
        <v>-8700.3699999999953</v>
      </c>
      <c r="N61" s="142">
        <f t="shared" si="18"/>
        <v>3812.9499999999998</v>
      </c>
      <c r="O61" s="81">
        <f t="shared" si="12"/>
        <v>9.3880487881859089</v>
      </c>
      <c r="P61" s="81">
        <f t="shared" si="13"/>
        <v>3.5419666666666667</v>
      </c>
      <c r="Q61" s="82">
        <f t="shared" si="14"/>
        <v>25.495347619047621</v>
      </c>
      <c r="R61" s="83">
        <f t="shared" si="15"/>
        <v>0.86021391181961626</v>
      </c>
      <c r="S61" s="1"/>
      <c r="T61" s="1"/>
      <c r="U61" s="1"/>
      <c r="V61" s="1"/>
      <c r="W61" s="1"/>
      <c r="X61" s="1"/>
      <c r="Y61" s="1"/>
      <c r="Z61" s="1"/>
    </row>
    <row r="62" s="119" customFormat="1" ht="17.25">
      <c r="A62" s="120"/>
      <c r="B62" s="121"/>
      <c r="C62" s="122"/>
      <c r="D62" s="123" t="s">
        <v>56</v>
      </c>
      <c r="E62" s="124">
        <f>SUM(E60:E61)</f>
        <v>35235.800000000003</v>
      </c>
      <c r="F62" s="124">
        <f>SUM(F60:F61)</f>
        <v>65743.600000000006</v>
      </c>
      <c r="G62" s="125">
        <f>SUM(G60:G61)</f>
        <v>2898.8000000000002</v>
      </c>
      <c r="H62" s="125">
        <f>SUM(H60:H61)</f>
        <v>1693.2</v>
      </c>
      <c r="I62" s="125">
        <f>SUM(I60:I61)</f>
        <v>54367.75</v>
      </c>
      <c r="J62" s="125">
        <f>SUM(J60:J61)</f>
        <v>5536.2399999999998</v>
      </c>
      <c r="K62" s="125">
        <f t="shared" si="16"/>
        <v>19131.949999999997</v>
      </c>
      <c r="L62" s="126">
        <f t="shared" si="9"/>
        <v>51468.949999999997</v>
      </c>
      <c r="M62" s="124">
        <f t="shared" si="17"/>
        <v>-11375.850000000006</v>
      </c>
      <c r="N62" s="124">
        <f t="shared" si="18"/>
        <v>3843.04</v>
      </c>
      <c r="O62" s="147">
        <f t="shared" si="12"/>
        <v>1.5429690825807842</v>
      </c>
      <c r="P62" s="127">
        <f t="shared" si="13"/>
        <v>3.2696905268131347</v>
      </c>
      <c r="Q62" s="127">
        <f t="shared" si="14"/>
        <v>18.755260797571406</v>
      </c>
      <c r="R62" s="128">
        <f t="shared" si="15"/>
        <v>0.82696642715032331</v>
      </c>
      <c r="S62" s="119"/>
      <c r="T62" s="119"/>
      <c r="U62" s="119"/>
      <c r="V62" s="119"/>
      <c r="W62" s="119"/>
      <c r="X62" s="119"/>
      <c r="Y62" s="119"/>
      <c r="Z62" s="119"/>
      <c r="AA62" s="119"/>
    </row>
    <row r="63" ht="17.25">
      <c r="A63" s="137"/>
      <c r="B63" s="105" t="s">
        <v>129</v>
      </c>
      <c r="C63" s="58" t="s">
        <v>130</v>
      </c>
      <c r="D63" s="208" t="s">
        <v>131</v>
      </c>
      <c r="E63" s="108">
        <v>544.75</v>
      </c>
      <c r="F63" s="108">
        <v>793.5</v>
      </c>
      <c r="G63" s="64">
        <v>95.299999999999997</v>
      </c>
      <c r="H63" s="62">
        <v>32.399999999999999</v>
      </c>
      <c r="I63" s="152">
        <v>1305.01</v>
      </c>
      <c r="J63" s="63">
        <v>927.82000000000005</v>
      </c>
      <c r="K63" s="63">
        <f t="shared" si="16"/>
        <v>760.25999999999999</v>
      </c>
      <c r="L63" s="63">
        <f t="shared" si="9"/>
        <v>1209.71</v>
      </c>
      <c r="M63" s="132">
        <f t="shared" si="17"/>
        <v>511.50999999999999</v>
      </c>
      <c r="N63" s="60">
        <f t="shared" si="18"/>
        <v>895.42000000000007</v>
      </c>
      <c r="O63" s="67">
        <f t="shared" si="12"/>
        <v>2.3956126663607158</v>
      </c>
      <c r="P63" s="68">
        <f t="shared" si="13"/>
        <v>28.636419753086422</v>
      </c>
      <c r="Q63" s="67">
        <f t="shared" si="14"/>
        <v>13.69370409233998</v>
      </c>
      <c r="R63" s="69">
        <f t="shared" si="15"/>
        <v>1.6446250787649654</v>
      </c>
      <c r="S63" s="1"/>
      <c r="T63" s="1"/>
      <c r="U63" s="1"/>
      <c r="V63" s="1"/>
      <c r="W63" s="1"/>
      <c r="X63" s="1"/>
      <c r="Y63" s="1"/>
      <c r="Z63" s="1"/>
    </row>
    <row r="64" ht="17.25">
      <c r="A64" s="134"/>
      <c r="B64" s="111"/>
      <c r="C64" s="72" t="s">
        <v>132</v>
      </c>
      <c r="D64" s="117" t="s">
        <v>133</v>
      </c>
      <c r="E64" s="113">
        <v>257.25</v>
      </c>
      <c r="F64" s="116">
        <v>44.399999999999999</v>
      </c>
      <c r="G64" s="209">
        <v>44.399999999999999</v>
      </c>
      <c r="H64" s="210">
        <v>0</v>
      </c>
      <c r="I64" s="114">
        <v>782.69000000000005</v>
      </c>
      <c r="J64" s="114">
        <v>24.120000000000001</v>
      </c>
      <c r="K64" s="114">
        <f t="shared" si="16"/>
        <v>525.44000000000005</v>
      </c>
      <c r="L64" s="114">
        <f t="shared" si="9"/>
        <v>738.29000000000008</v>
      </c>
      <c r="M64" s="113">
        <f t="shared" si="17"/>
        <v>738.29000000000008</v>
      </c>
      <c r="N64" s="142">
        <f t="shared" si="18"/>
        <v>24.120000000000001</v>
      </c>
      <c r="O64" s="81">
        <f t="shared" si="12"/>
        <v>3.0425267249757049</v>
      </c>
      <c r="P64" s="81" t="str">
        <f t="shared" si="13"/>
        <v/>
      </c>
      <c r="Q64" s="82">
        <f t="shared" si="14"/>
        <v>17.628153153153153</v>
      </c>
      <c r="R64" s="211">
        <f t="shared" si="15"/>
        <v>17.628153153153153</v>
      </c>
      <c r="S64" s="1"/>
      <c r="T64" s="1"/>
      <c r="U64" s="1"/>
      <c r="V64" s="1"/>
      <c r="W64" s="1"/>
      <c r="X64" s="1"/>
      <c r="Y64" s="1"/>
      <c r="Z64" s="1"/>
    </row>
    <row r="65" ht="13.5">
      <c r="A65" s="134"/>
      <c r="B65" s="111"/>
      <c r="C65" s="84" t="s">
        <v>52</v>
      </c>
      <c r="D65" s="117" t="s">
        <v>53</v>
      </c>
      <c r="E65" s="113">
        <v>0</v>
      </c>
      <c r="F65" s="113">
        <v>445</v>
      </c>
      <c r="G65" s="114">
        <v>0</v>
      </c>
      <c r="H65" s="114">
        <v>0</v>
      </c>
      <c r="I65" s="114">
        <v>0</v>
      </c>
      <c r="J65" s="114">
        <v>0</v>
      </c>
      <c r="K65" s="114">
        <f t="shared" si="16"/>
        <v>0</v>
      </c>
      <c r="L65" s="114">
        <f t="shared" si="9"/>
        <v>0</v>
      </c>
      <c r="M65" s="142">
        <f t="shared" si="17"/>
        <v>-445</v>
      </c>
      <c r="N65" s="113">
        <f t="shared" si="18"/>
        <v>0</v>
      </c>
      <c r="O65" s="80" t="str">
        <f t="shared" si="12"/>
        <v/>
      </c>
      <c r="P65" s="81" t="str">
        <f t="shared" si="13"/>
        <v/>
      </c>
      <c r="Q65" s="81" t="str">
        <f t="shared" si="14"/>
        <v/>
      </c>
      <c r="R65" s="83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34"/>
      <c r="B66" s="111"/>
      <c r="C66" s="72" t="s">
        <v>134</v>
      </c>
      <c r="D66" s="117" t="s">
        <v>135</v>
      </c>
      <c r="E66" s="113">
        <v>15847.129999999999</v>
      </c>
      <c r="F66" s="113">
        <v>1508.599999999255</v>
      </c>
      <c r="G66" s="114">
        <v>225</v>
      </c>
      <c r="H66" s="114">
        <v>86</v>
      </c>
      <c r="I66" s="115">
        <v>29240.650000000001</v>
      </c>
      <c r="J66" s="114">
        <v>18974.389999999999</v>
      </c>
      <c r="K66" s="114">
        <f t="shared" si="16"/>
        <v>13393.520000000002</v>
      </c>
      <c r="L66" s="114">
        <f t="shared" si="9"/>
        <v>29015.650000000001</v>
      </c>
      <c r="M66" s="113">
        <f t="shared" si="17"/>
        <v>27732.050000000745</v>
      </c>
      <c r="N66" s="142">
        <f t="shared" si="18"/>
        <v>18888.389999999999</v>
      </c>
      <c r="O66" s="81">
        <f t="shared" si="12"/>
        <v>1.8451700718048001</v>
      </c>
      <c r="P66" s="212">
        <f t="shared" si="13"/>
        <v>220.63244186046512</v>
      </c>
      <c r="Q66" s="213">
        <f t="shared" si="14"/>
        <v>129.95844444444444</v>
      </c>
      <c r="R66" s="211">
        <f t="shared" si="15"/>
        <v>19.382639533351743</v>
      </c>
      <c r="S66" s="1"/>
      <c r="T66" s="1"/>
      <c r="U66" s="1"/>
      <c r="V66" s="1"/>
      <c r="W66" s="1"/>
      <c r="X66" s="1"/>
      <c r="Y66" s="1"/>
      <c r="Z66" s="1"/>
    </row>
    <row r="67" ht="13.5">
      <c r="A67" s="134"/>
      <c r="B67" s="111"/>
      <c r="C67" s="84" t="s">
        <v>102</v>
      </c>
      <c r="D67" s="117" t="s">
        <v>103</v>
      </c>
      <c r="E67" s="113">
        <v>25978.91</v>
      </c>
      <c r="F67" s="113">
        <v>101553.59999999998</v>
      </c>
      <c r="G67" s="114">
        <v>25079.599999999999</v>
      </c>
      <c r="H67" s="114">
        <v>8200.7000000000007</v>
      </c>
      <c r="I67" s="114">
        <v>23597.990000000002</v>
      </c>
      <c r="J67" s="114">
        <v>8660.7600000000002</v>
      </c>
      <c r="K67" s="114">
        <f t="shared" si="16"/>
        <v>-2380.9199999999983</v>
      </c>
      <c r="L67" s="114">
        <f t="shared" si="9"/>
        <v>-1481.6099999999969</v>
      </c>
      <c r="M67" s="142">
        <f t="shared" si="17"/>
        <v>-77955.609999999971</v>
      </c>
      <c r="N67" s="113">
        <f t="shared" si="18"/>
        <v>460.05999999999949</v>
      </c>
      <c r="O67" s="80">
        <f t="shared" si="12"/>
        <v>0.90835181306682999</v>
      </c>
      <c r="P67" s="81">
        <f t="shared" si="13"/>
        <v>1.0561000890167911</v>
      </c>
      <c r="Q67" s="82">
        <f t="shared" si="14"/>
        <v>0.940923698942567</v>
      </c>
      <c r="R67" s="83">
        <f t="shared" si="15"/>
        <v>0.23236980274456057</v>
      </c>
      <c r="S67" s="1"/>
      <c r="T67" s="1"/>
      <c r="U67" s="1"/>
      <c r="V67" s="1"/>
      <c r="W67" s="1"/>
      <c r="X67" s="1"/>
      <c r="Y67" s="1"/>
      <c r="Z67" s="1"/>
    </row>
    <row r="68" ht="13.5">
      <c r="A68" s="134"/>
      <c r="B68" s="111"/>
      <c r="C68" s="72" t="s">
        <v>136</v>
      </c>
      <c r="D68" s="117" t="s">
        <v>137</v>
      </c>
      <c r="E68" s="113">
        <v>141.15000000000001</v>
      </c>
      <c r="F68" s="136">
        <v>0</v>
      </c>
      <c r="G68" s="114">
        <v>0</v>
      </c>
      <c r="H68" s="115">
        <v>0</v>
      </c>
      <c r="I68" s="114">
        <v>50.030000000000008</v>
      </c>
      <c r="J68" s="115">
        <v>68.710000000000008</v>
      </c>
      <c r="K68" s="114">
        <f t="shared" si="16"/>
        <v>-91.120000000000005</v>
      </c>
      <c r="L68" s="114">
        <f t="shared" si="9"/>
        <v>50.030000000000008</v>
      </c>
      <c r="M68" s="113">
        <f t="shared" si="17"/>
        <v>50.030000000000008</v>
      </c>
      <c r="N68" s="142">
        <f t="shared" si="18"/>
        <v>68.710000000000008</v>
      </c>
      <c r="O68" s="81">
        <f t="shared" si="12"/>
        <v>0.35444562522139572</v>
      </c>
      <c r="P68" s="80" t="str">
        <f t="shared" si="13"/>
        <v/>
      </c>
      <c r="Q68" s="81" t="str">
        <f t="shared" si="14"/>
        <v/>
      </c>
      <c r="R68" s="83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34"/>
      <c r="B69" s="111"/>
      <c r="C69" s="84" t="s">
        <v>138</v>
      </c>
      <c r="D69" s="117" t="s">
        <v>139</v>
      </c>
      <c r="E69" s="113">
        <v>441.80000000000001</v>
      </c>
      <c r="F69" s="113">
        <v>0</v>
      </c>
      <c r="G69" s="114">
        <v>0</v>
      </c>
      <c r="H69" s="114">
        <v>0</v>
      </c>
      <c r="I69" s="114">
        <v>126.2</v>
      </c>
      <c r="J69" s="114">
        <v>11.27</v>
      </c>
      <c r="K69" s="114">
        <f t="shared" si="16"/>
        <v>-315.60000000000002</v>
      </c>
      <c r="L69" s="114">
        <f t="shared" si="9"/>
        <v>126.2</v>
      </c>
      <c r="M69" s="113">
        <f t="shared" si="17"/>
        <v>126.2</v>
      </c>
      <c r="N69" s="113">
        <f t="shared" si="18"/>
        <v>11.27</v>
      </c>
      <c r="O69" s="80">
        <f t="shared" si="12"/>
        <v>0.28564961521050247</v>
      </c>
      <c r="P69" s="81" t="str">
        <f t="shared" si="13"/>
        <v/>
      </c>
      <c r="Q69" s="82" t="str">
        <f t="shared" si="14"/>
        <v/>
      </c>
      <c r="R69" s="83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34"/>
      <c r="B70" s="111"/>
      <c r="C70" s="72" t="s">
        <v>140</v>
      </c>
      <c r="D70" s="112" t="s">
        <v>141</v>
      </c>
      <c r="E70" s="113">
        <v>5859.4399999999996</v>
      </c>
      <c r="F70" s="136">
        <v>0</v>
      </c>
      <c r="G70" s="114">
        <v>0</v>
      </c>
      <c r="H70" s="115">
        <v>0</v>
      </c>
      <c r="I70" s="114">
        <v>2498.1799999999998</v>
      </c>
      <c r="J70" s="114">
        <v>2132.23</v>
      </c>
      <c r="K70" s="114">
        <f t="shared" si="16"/>
        <v>-3361.2599999999998</v>
      </c>
      <c r="L70" s="115">
        <f t="shared" si="9"/>
        <v>2498.1799999999998</v>
      </c>
      <c r="M70" s="113">
        <f t="shared" si="17"/>
        <v>2498.1799999999998</v>
      </c>
      <c r="N70" s="142">
        <f t="shared" si="18"/>
        <v>2132.23</v>
      </c>
      <c r="O70" s="81">
        <f t="shared" si="12"/>
        <v>0.42635132367598266</v>
      </c>
      <c r="P70" s="80" t="str">
        <f t="shared" si="13"/>
        <v/>
      </c>
      <c r="Q70" s="81" t="str">
        <f t="shared" si="14"/>
        <v/>
      </c>
      <c r="R70" s="83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19" customFormat="1" ht="13.5">
      <c r="A71" s="207"/>
      <c r="B71" s="121"/>
      <c r="C71" s="144"/>
      <c r="D71" s="145" t="s">
        <v>56</v>
      </c>
      <c r="E71" s="124">
        <f>SUM(E63:E70)</f>
        <v>49070.43</v>
      </c>
      <c r="F71" s="124">
        <f>SUM(F63:F70)</f>
        <v>104345.09999999923</v>
      </c>
      <c r="G71" s="214">
        <f>SUM(G63:G70)</f>
        <v>25444.299999999999</v>
      </c>
      <c r="H71" s="125">
        <f>SUM(H63:H70)</f>
        <v>8319.1000000000004</v>
      </c>
      <c r="I71" s="125">
        <f>SUM(I63:I70)</f>
        <v>57600.75</v>
      </c>
      <c r="J71" s="125">
        <f>SUM(J63:J70)</f>
        <v>30799.299999999996</v>
      </c>
      <c r="K71" s="126">
        <f t="shared" si="16"/>
        <v>8530.3199999999997</v>
      </c>
      <c r="L71" s="125">
        <f t="shared" si="9"/>
        <v>32156.450000000001</v>
      </c>
      <c r="M71" s="146">
        <f t="shared" si="17"/>
        <v>-46744.349999999235</v>
      </c>
      <c r="N71" s="124">
        <f t="shared" si="18"/>
        <v>22480.199999999997</v>
      </c>
      <c r="O71" s="147">
        <f t="shared" si="12"/>
        <v>1.1738382973208101</v>
      </c>
      <c r="P71" s="127">
        <f t="shared" si="13"/>
        <v>3.702239424937793</v>
      </c>
      <c r="Q71" s="148">
        <f t="shared" si="14"/>
        <v>2.2637977857516223</v>
      </c>
      <c r="R71" s="128">
        <f t="shared" si="15"/>
        <v>0.5520216090645409</v>
      </c>
      <c r="S71" s="119"/>
      <c r="T71" s="119"/>
      <c r="U71" s="119"/>
      <c r="V71" s="119"/>
      <c r="W71" s="119"/>
      <c r="X71" s="119"/>
      <c r="Y71" s="119"/>
      <c r="Z71" s="119"/>
      <c r="AA71" s="119"/>
    </row>
    <row r="72" s="43" customFormat="1" ht="13.5">
      <c r="A72" s="215"/>
      <c r="B72" s="216" t="s">
        <v>142</v>
      </c>
      <c r="C72" s="217"/>
      <c r="D72" s="218"/>
      <c r="E72" s="103">
        <f>E5+E17</f>
        <v>5153710.8699999992</v>
      </c>
      <c r="F72" s="103">
        <f>F5+F17</f>
        <v>36906035.510000005</v>
      </c>
      <c r="G72" s="100">
        <f>G5+G17</f>
        <v>6615118.0099999998</v>
      </c>
      <c r="H72" s="100">
        <f>H5+H17</f>
        <v>2802761.9100000001</v>
      </c>
      <c r="I72" s="100">
        <f>I5+I17</f>
        <v>6328034.3200000003</v>
      </c>
      <c r="J72" s="100">
        <f>J5+J17</f>
        <v>2738277.3499999996</v>
      </c>
      <c r="K72" s="100">
        <f t="shared" si="16"/>
        <v>1174323.4500000011</v>
      </c>
      <c r="L72" s="100">
        <f t="shared" si="9"/>
        <v>-287083.68999999948</v>
      </c>
      <c r="M72" s="103">
        <f t="shared" si="17"/>
        <v>-30578001.190000005</v>
      </c>
      <c r="N72" s="102">
        <f t="shared" si="18"/>
        <v>-64484.560000000522</v>
      </c>
      <c r="O72" s="53">
        <f t="shared" si="12"/>
        <v>1.2278597848466422</v>
      </c>
      <c r="P72" s="52">
        <f t="shared" si="13"/>
        <v>0.97699249452123438</v>
      </c>
      <c r="Q72" s="53">
        <f t="shared" si="14"/>
        <v>0.95660187927622486</v>
      </c>
      <c r="R72" s="55">
        <f t="shared" si="15"/>
        <v>0.17146339975436714</v>
      </c>
      <c r="S72" s="43"/>
      <c r="T72" s="43"/>
      <c r="U72" s="43"/>
      <c r="V72" s="43"/>
      <c r="W72" s="43"/>
      <c r="X72" s="43"/>
      <c r="Y72" s="43"/>
      <c r="Z72" s="43"/>
      <c r="AA72" s="43"/>
    </row>
    <row r="73" s="43" customFormat="1" ht="13.5">
      <c r="A73" s="219"/>
      <c r="B73" s="220" t="s">
        <v>143</v>
      </c>
      <c r="C73" s="221"/>
      <c r="D73" s="222"/>
      <c r="E73" s="223">
        <f>SUM(E74:E82)</f>
        <v>5949273.4300000006</v>
      </c>
      <c r="F73" s="185">
        <f>SUM(F74:F82)</f>
        <v>29340136.41</v>
      </c>
      <c r="G73" s="186">
        <f>SUM(G74:G82)</f>
        <v>5908530.9299999997</v>
      </c>
      <c r="H73" s="186">
        <f>SUM(H74:H82)</f>
        <v>1969035.8600000001</v>
      </c>
      <c r="I73" s="186">
        <f>SUM(I74:I82)</f>
        <v>5855587.9199999999</v>
      </c>
      <c r="J73" s="186">
        <f>SUM(J74:J82)</f>
        <v>2141115.77</v>
      </c>
      <c r="K73" s="224">
        <f t="shared" si="16"/>
        <v>-93685.510000000708</v>
      </c>
      <c r="L73" s="224">
        <f t="shared" si="9"/>
        <v>-52943.009999999776</v>
      </c>
      <c r="M73" s="225">
        <f t="shared" si="17"/>
        <v>-23484548.490000002</v>
      </c>
      <c r="N73" s="223">
        <f t="shared" si="18"/>
        <v>172079.90999999992</v>
      </c>
      <c r="O73" s="226">
        <f t="shared" si="12"/>
        <v>0.98425261318002644</v>
      </c>
      <c r="P73" s="227">
        <f t="shared" si="13"/>
        <v>1.0873929792218207</v>
      </c>
      <c r="Q73" s="228">
        <f t="shared" si="14"/>
        <v>0.99103956455043896</v>
      </c>
      <c r="R73" s="229">
        <f t="shared" si="15"/>
        <v>0.19957602916952491</v>
      </c>
      <c r="S73" s="43"/>
      <c r="T73" s="43"/>
      <c r="U73" s="43"/>
      <c r="V73" s="43"/>
      <c r="W73" s="43"/>
      <c r="X73" s="43"/>
      <c r="Y73" s="43"/>
      <c r="Z73" s="43"/>
    </row>
    <row r="74" ht="13.5">
      <c r="A74" s="230"/>
      <c r="B74" s="231"/>
      <c r="C74" s="72" t="s">
        <v>144</v>
      </c>
      <c r="D74" s="232" t="s">
        <v>145</v>
      </c>
      <c r="E74" s="113">
        <v>191981.5</v>
      </c>
      <c r="F74" s="136">
        <v>599211.69999999995</v>
      </c>
      <c r="G74" s="114">
        <v>237727.29999999999</v>
      </c>
      <c r="H74" s="114">
        <v>0</v>
      </c>
      <c r="I74" s="114">
        <v>236970.5</v>
      </c>
      <c r="J74" s="114">
        <v>0</v>
      </c>
      <c r="K74" s="114">
        <f t="shared" si="16"/>
        <v>44989</v>
      </c>
      <c r="L74" s="114">
        <f t="shared" ref="L74:L83" si="19">I74-G74</f>
        <v>-756.79999999998836</v>
      </c>
      <c r="M74" s="113">
        <f t="shared" si="17"/>
        <v>-362241.19999999995</v>
      </c>
      <c r="N74" s="113">
        <f t="shared" si="18"/>
        <v>0</v>
      </c>
      <c r="O74" s="81">
        <f t="shared" ref="O74:O83" si="20">IFERROR(I74/E74,"")</f>
        <v>1.2343402879964998</v>
      </c>
      <c r="P74" s="81" t="str">
        <f t="shared" ref="P74:P83" si="21">IFERROR(J74/H74,"")</f>
        <v/>
      </c>
      <c r="Q74" s="81">
        <f t="shared" ref="Q74:Q83" si="22">IFERROR(I74/G74,"")</f>
        <v>0.99681652044169944</v>
      </c>
      <c r="R74" s="83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33"/>
      <c r="B75" s="234"/>
      <c r="C75" s="84" t="s">
        <v>146</v>
      </c>
      <c r="D75" s="235" t="s">
        <v>147</v>
      </c>
      <c r="E75" s="113">
        <v>628335.79000000004</v>
      </c>
      <c r="F75" s="136">
        <v>7878229.7599999998</v>
      </c>
      <c r="G75" s="114">
        <v>786121.71999999997</v>
      </c>
      <c r="H75" s="115">
        <v>302462.15000000002</v>
      </c>
      <c r="I75" s="114">
        <v>786121.71999999997</v>
      </c>
      <c r="J75" s="114">
        <v>302462.15000000002</v>
      </c>
      <c r="K75" s="114">
        <f t="shared" si="16"/>
        <v>157785.92999999993</v>
      </c>
      <c r="L75" s="114">
        <f t="shared" si="19"/>
        <v>0</v>
      </c>
      <c r="M75" s="113">
        <f t="shared" si="17"/>
        <v>-7092108.04</v>
      </c>
      <c r="N75" s="113">
        <f t="shared" si="18"/>
        <v>0</v>
      </c>
      <c r="O75" s="81">
        <f t="shared" si="20"/>
        <v>1.2511172091597709</v>
      </c>
      <c r="P75" s="81">
        <f t="shared" si="21"/>
        <v>1</v>
      </c>
      <c r="Q75" s="81">
        <f t="shared" si="22"/>
        <v>1</v>
      </c>
      <c r="R75" s="83">
        <f t="shared" si="23"/>
        <v>0.099784056056775886</v>
      </c>
      <c r="S75" s="1"/>
      <c r="T75" s="1"/>
      <c r="U75" s="1"/>
      <c r="V75" s="1"/>
      <c r="W75" s="1"/>
      <c r="X75" s="1"/>
      <c r="Y75" s="1"/>
      <c r="Z75" s="1"/>
    </row>
    <row r="76" ht="13.5">
      <c r="A76" s="233"/>
      <c r="B76" s="234"/>
      <c r="C76" s="72" t="s">
        <v>148</v>
      </c>
      <c r="D76" s="232" t="s">
        <v>149</v>
      </c>
      <c r="E76" s="113">
        <v>3526873.7200000002</v>
      </c>
      <c r="F76" s="136">
        <v>17821589.800000001</v>
      </c>
      <c r="G76" s="236">
        <v>3574805.1399999997</v>
      </c>
      <c r="H76" s="114">
        <v>1453031.77</v>
      </c>
      <c r="I76" s="115">
        <v>3574805.1399999997</v>
      </c>
      <c r="J76" s="114">
        <v>1453031.77</v>
      </c>
      <c r="K76" s="114">
        <f t="shared" si="16"/>
        <v>47931.41999999946</v>
      </c>
      <c r="L76" s="114">
        <f t="shared" si="19"/>
        <v>0</v>
      </c>
      <c r="M76" s="113">
        <f t="shared" si="17"/>
        <v>-14246784.66</v>
      </c>
      <c r="N76" s="113">
        <f t="shared" si="18"/>
        <v>0</v>
      </c>
      <c r="O76" s="81">
        <f t="shared" si="20"/>
        <v>1.0135903419870671</v>
      </c>
      <c r="P76" s="81">
        <f t="shared" si="21"/>
        <v>1</v>
      </c>
      <c r="Q76" s="81">
        <f t="shared" si="22"/>
        <v>1</v>
      </c>
      <c r="R76" s="83">
        <f t="shared" si="23"/>
        <v>0.20058845367431807</v>
      </c>
      <c r="S76" s="1"/>
      <c r="T76" s="1"/>
      <c r="U76" s="1"/>
      <c r="V76" s="1"/>
      <c r="W76" s="1"/>
      <c r="X76" s="1"/>
      <c r="Y76" s="1"/>
      <c r="Z76" s="1"/>
    </row>
    <row r="77" ht="13.5">
      <c r="A77" s="233"/>
      <c r="B77" s="234"/>
      <c r="C77" s="84" t="s">
        <v>150</v>
      </c>
      <c r="D77" s="237" t="s">
        <v>151</v>
      </c>
      <c r="E77" s="113">
        <v>1441475.6599999999</v>
      </c>
      <c r="F77" s="136">
        <v>3035072.5499999998</v>
      </c>
      <c r="G77" s="114">
        <v>1303844.1699999999</v>
      </c>
      <c r="H77" s="238">
        <v>207509.34</v>
      </c>
      <c r="I77" s="114">
        <v>1303844.1699999999</v>
      </c>
      <c r="J77" s="115">
        <v>207509.34</v>
      </c>
      <c r="K77" s="114">
        <f t="shared" si="16"/>
        <v>-137631.48999999999</v>
      </c>
      <c r="L77" s="114">
        <f t="shared" si="19"/>
        <v>0</v>
      </c>
      <c r="M77" s="113">
        <f t="shared" si="17"/>
        <v>-1731228.3799999999</v>
      </c>
      <c r="N77" s="113">
        <f t="shared" si="18"/>
        <v>0</v>
      </c>
      <c r="O77" s="81">
        <f t="shared" si="20"/>
        <v>0.90452042041417469</v>
      </c>
      <c r="P77" s="81">
        <f t="shared" si="21"/>
        <v>1</v>
      </c>
      <c r="Q77" s="81">
        <f t="shared" si="22"/>
        <v>1</v>
      </c>
      <c r="R77" s="83">
        <f t="shared" si="23"/>
        <v>0.42959242275773607</v>
      </c>
      <c r="S77" s="1"/>
      <c r="T77" s="1"/>
      <c r="U77" s="1"/>
      <c r="V77" s="1"/>
      <c r="W77" s="1"/>
      <c r="X77" s="1"/>
      <c r="Y77" s="1"/>
      <c r="Z77" s="1"/>
    </row>
    <row r="78" ht="13.5">
      <c r="A78" s="233"/>
      <c r="B78" s="234"/>
      <c r="C78" s="72" t="s">
        <v>152</v>
      </c>
      <c r="D78" s="237" t="s">
        <v>153</v>
      </c>
      <c r="E78" s="113">
        <v>6532.3199999999997</v>
      </c>
      <c r="F78" s="239">
        <v>0</v>
      </c>
      <c r="G78" s="115">
        <v>0</v>
      </c>
      <c r="H78" s="114">
        <v>0</v>
      </c>
      <c r="I78" s="114">
        <v>0</v>
      </c>
      <c r="J78" s="114">
        <v>0</v>
      </c>
      <c r="K78" s="114">
        <f t="shared" si="16"/>
        <v>-6532.3199999999997</v>
      </c>
      <c r="L78" s="114">
        <f t="shared" si="19"/>
        <v>0</v>
      </c>
      <c r="M78" s="113">
        <f t="shared" si="17"/>
        <v>0</v>
      </c>
      <c r="N78" s="113">
        <f t="shared" si="18"/>
        <v>0</v>
      </c>
      <c r="O78" s="81">
        <f t="shared" si="20"/>
        <v>0</v>
      </c>
      <c r="P78" s="81" t="str">
        <f t="shared" si="21"/>
        <v/>
      </c>
      <c r="Q78" s="81" t="str">
        <f t="shared" si="22"/>
        <v/>
      </c>
      <c r="R78" s="83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33"/>
      <c r="B79" s="234"/>
      <c r="C79" s="72" t="s">
        <v>154</v>
      </c>
      <c r="D79" s="237" t="s">
        <v>155</v>
      </c>
      <c r="E79" s="113">
        <v>44836.290000000001</v>
      </c>
      <c r="F79" s="239">
        <v>0</v>
      </c>
      <c r="G79" s="114">
        <v>0</v>
      </c>
      <c r="H79" s="114">
        <v>0</v>
      </c>
      <c r="I79" s="114">
        <v>0</v>
      </c>
      <c r="J79" s="114">
        <v>0</v>
      </c>
      <c r="K79" s="114">
        <f t="shared" si="16"/>
        <v>-44836.290000000001</v>
      </c>
      <c r="L79" s="114">
        <f t="shared" si="19"/>
        <v>0</v>
      </c>
      <c r="M79" s="113">
        <f t="shared" si="17"/>
        <v>0</v>
      </c>
      <c r="N79" s="113">
        <f t="shared" si="18"/>
        <v>0</v>
      </c>
      <c r="O79" s="81">
        <f t="shared" si="20"/>
        <v>0</v>
      </c>
      <c r="P79" s="81" t="str">
        <f t="shared" si="21"/>
        <v/>
      </c>
      <c r="Q79" s="81" t="str">
        <f t="shared" si="22"/>
        <v/>
      </c>
      <c r="R79" s="83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40"/>
      <c r="B80" s="234"/>
      <c r="C80" s="72" t="s">
        <v>156</v>
      </c>
      <c r="D80" s="241" t="s">
        <v>157</v>
      </c>
      <c r="E80" s="74">
        <v>0</v>
      </c>
      <c r="F80" s="239">
        <v>0</v>
      </c>
      <c r="G80" s="115">
        <v>0</v>
      </c>
      <c r="H80" s="114">
        <v>0</v>
      </c>
      <c r="I80" s="77">
        <v>0</v>
      </c>
      <c r="J80" s="77">
        <v>0</v>
      </c>
      <c r="K80" s="114">
        <f t="shared" si="16"/>
        <v>0</v>
      </c>
      <c r="L80" s="114">
        <f t="shared" si="19"/>
        <v>0</v>
      </c>
      <c r="M80" s="113">
        <f t="shared" si="17"/>
        <v>0</v>
      </c>
      <c r="N80" s="113">
        <f t="shared" si="18"/>
        <v>0</v>
      </c>
      <c r="O80" s="81" t="str">
        <f t="shared" si="20"/>
        <v/>
      </c>
      <c r="P80" s="81" t="str">
        <f t="shared" si="21"/>
        <v/>
      </c>
      <c r="Q80" s="81" t="str">
        <f t="shared" si="22"/>
        <v/>
      </c>
      <c r="R80" s="83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33"/>
      <c r="B81" s="234"/>
      <c r="C81" s="242" t="s">
        <v>158</v>
      </c>
      <c r="D81" s="140" t="s">
        <v>159</v>
      </c>
      <c r="E81" s="113">
        <v>170864.62</v>
      </c>
      <c r="F81" s="239">
        <v>6032.6000000000004</v>
      </c>
      <c r="G81" s="239">
        <v>6032.6000000000004</v>
      </c>
      <c r="H81" s="239">
        <v>6032.6000000000004</v>
      </c>
      <c r="I81" s="114">
        <v>117060.49000000001</v>
      </c>
      <c r="J81" s="114">
        <v>-100431.97</v>
      </c>
      <c r="K81" s="114">
        <f t="shared" si="16"/>
        <v>-53804.12999999999</v>
      </c>
      <c r="L81" s="114">
        <f t="shared" si="19"/>
        <v>111027.89</v>
      </c>
      <c r="M81" s="113">
        <f t="shared" si="17"/>
        <v>111027.89</v>
      </c>
      <c r="N81" s="113">
        <f t="shared" si="18"/>
        <v>-106464.57000000001</v>
      </c>
      <c r="O81" s="81">
        <f t="shared" si="20"/>
        <v>0.68510666514811558</v>
      </c>
      <c r="P81" s="81">
        <f t="shared" si="21"/>
        <v>-16.648206411829062</v>
      </c>
      <c r="Q81" s="81">
        <f t="shared" si="22"/>
        <v>19.404649736432052</v>
      </c>
      <c r="R81" s="83">
        <f t="shared" si="23"/>
        <v>19.404649736432052</v>
      </c>
      <c r="S81" s="1"/>
      <c r="T81" s="1"/>
      <c r="U81" s="1"/>
      <c r="V81" s="1"/>
      <c r="W81" s="1"/>
      <c r="X81" s="1"/>
      <c r="Y81" s="1"/>
      <c r="Z81" s="1"/>
    </row>
    <row r="82" ht="13.5">
      <c r="A82" s="233"/>
      <c r="B82" s="231"/>
      <c r="C82" s="243" t="s">
        <v>160</v>
      </c>
      <c r="D82" s="244" t="s">
        <v>161</v>
      </c>
      <c r="E82" s="245">
        <v>-61626.470000000001</v>
      </c>
      <c r="F82" s="246">
        <v>0</v>
      </c>
      <c r="G82" s="195">
        <v>0</v>
      </c>
      <c r="H82" s="195">
        <v>0</v>
      </c>
      <c r="I82" s="195">
        <v>-163214.10000000001</v>
      </c>
      <c r="J82" s="195">
        <v>278544.47999999998</v>
      </c>
      <c r="K82" s="195">
        <f t="shared" si="16"/>
        <v>-101587.63</v>
      </c>
      <c r="L82" s="195">
        <f t="shared" si="19"/>
        <v>-163214.10000000001</v>
      </c>
      <c r="M82" s="196">
        <f t="shared" si="17"/>
        <v>-163214.10000000001</v>
      </c>
      <c r="N82" s="142">
        <f t="shared" si="18"/>
        <v>278544.47999999998</v>
      </c>
      <c r="O82" s="94">
        <f t="shared" si="20"/>
        <v>2.6484414895092971</v>
      </c>
      <c r="P82" s="80" t="str">
        <f t="shared" si="21"/>
        <v/>
      </c>
      <c r="Q82" s="94" t="str">
        <f t="shared" si="22"/>
        <v/>
      </c>
      <c r="R82" s="95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3" customFormat="1" ht="13.5">
      <c r="A83" s="247"/>
      <c r="B83" s="216" t="s">
        <v>162</v>
      </c>
      <c r="C83" s="217"/>
      <c r="D83" s="218"/>
      <c r="E83" s="103">
        <f>E72+E73</f>
        <v>11102984.300000001</v>
      </c>
      <c r="F83" s="103">
        <f>F72+F73</f>
        <v>66246171.920000002</v>
      </c>
      <c r="G83" s="100">
        <f>G72+G73</f>
        <v>12523648.939999999</v>
      </c>
      <c r="H83" s="100">
        <f>H72+H73</f>
        <v>4771797.7700000005</v>
      </c>
      <c r="I83" s="100">
        <f>I72+I73</f>
        <v>12183622.24</v>
      </c>
      <c r="J83" s="100">
        <f>J72+J73</f>
        <v>4879393.1199999992</v>
      </c>
      <c r="K83" s="100">
        <f t="shared" si="16"/>
        <v>1080637.9399999995</v>
      </c>
      <c r="L83" s="100">
        <f t="shared" si="19"/>
        <v>-340026.69999999925</v>
      </c>
      <c r="M83" s="103">
        <f t="shared" si="17"/>
        <v>-54062549.68</v>
      </c>
      <c r="N83" s="103">
        <f t="shared" si="18"/>
        <v>107595.3499999987</v>
      </c>
      <c r="O83" s="53">
        <f t="shared" si="20"/>
        <v>1.0973286020047781</v>
      </c>
      <c r="P83" s="53">
        <f t="shared" si="21"/>
        <v>1.0225481789434674</v>
      </c>
      <c r="Q83" s="53">
        <f t="shared" si="22"/>
        <v>0.97284923095265241</v>
      </c>
      <c r="R83" s="55">
        <f t="shared" si="23"/>
        <v>0.18391435892647728</v>
      </c>
      <c r="S83" s="43"/>
      <c r="T83" s="43"/>
      <c r="U83" s="43"/>
      <c r="V83" s="43"/>
      <c r="W83" s="43"/>
      <c r="X83" s="43"/>
      <c r="Y83" s="43"/>
      <c r="Z83" s="43"/>
    </row>
    <row r="84" ht="13.5">
      <c r="A84" s="248"/>
      <c r="B84" s="249" t="s">
        <v>163</v>
      </c>
      <c r="C84" s="3"/>
      <c r="D84" s="250"/>
      <c r="E84" s="251"/>
      <c r="F84" s="251"/>
      <c r="G84" s="252"/>
      <c r="H84" s="252"/>
      <c r="I84" s="253"/>
      <c r="J84" s="253"/>
      <c r="K84" s="253"/>
      <c r="L84" s="253"/>
      <c r="M84" s="251"/>
      <c r="N84" s="251"/>
      <c r="O84" s="251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5"/>
      <c r="H85" s="6"/>
      <c r="I85" s="7"/>
      <c r="J85" s="7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7"/>
      <c r="J86" s="7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7"/>
      <c r="J87" s="7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7"/>
      <c r="J88" s="7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7"/>
      <c r="J89" s="7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7"/>
      <c r="J90" s="7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7"/>
      <c r="J91" s="7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7"/>
      <c r="S93" s="1"/>
      <c r="T93" s="1"/>
      <c r="U93" s="1"/>
      <c r="V93" s="1"/>
      <c r="W93" s="1"/>
      <c r="X93" s="1"/>
      <c r="Y93" s="1"/>
      <c r="Z93" s="1"/>
    </row>
    <row r="94" ht="12.75">
      <c r="I94" s="7"/>
      <c r="U94" s="1"/>
      <c r="V94" s="1"/>
    </row>
    <row r="95" ht="12.75">
      <c r="I95" s="7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264</cp:revision>
  <dcterms:created xsi:type="dcterms:W3CDTF">2015-02-26T11:08:47Z</dcterms:created>
  <dcterms:modified xsi:type="dcterms:W3CDTF">2026-03-30T05:37:05Z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