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10.08." sheetId="1" state="visible" r:id="rId1"/>
  </sheets>
  <definedNames>
    <definedName name="_xlnm._FilterDatabase" localSheetId="0" hidden="1">'на 10.08.'!$A$4:$R$84</definedName>
    <definedName name="_xlnm.Print_Area" localSheetId="0" hidden="0">'на 10.08.'!$A$1:$R$84</definedName>
    <definedName name="Print_Titles" localSheetId="0" hidden="0">'на 10.08.'!$3:$4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10.08.'!$A$4:$R$84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<sst xmlns="http://schemas.openxmlformats.org/spreadsheetml/2006/main" count="165" uniqueCount="165">
  <si>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</si>
  <si>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</si>
  <si>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</si>
  <si>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</si>
  <si>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</si>
  <si>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</si>
  <si>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с нач. 2025 года по 07.08.2025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</si>
  <si>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</si>
  <si>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</si>
  <si>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</si>
  <si>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</si>
  <si>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</si>
  <si>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</si>
  <si>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</si>
  <si>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</si>
  <si>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август</t>
  </si>
  <si>
    <t>август</t>
  </si>
  <si>
    <t xml:space="preserve">с нач. года на 10.08.2026 (по 07.08.2026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</si>
  <si>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</si>
  <si>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</si>
  <si>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</si>
  <si>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август от плана августа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</si>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</sst>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7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b/>
      <sz val="16.000000"/>
      <color indexed="2"/>
      <name val="Times New Roman"/>
    </font>
    <font>
      <sz val="12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29">
    <xf fontId="0" fillId="0" borderId="0" numFmtId="0" xfId="0"/>
    <xf fontId="5" fillId="0" borderId="0" numFmtId="0" xfId="0" applyFont="1" applyAlignment="1">
      <alignment vertical="center"/>
    </xf>
    <xf fontId="6" fillId="3" borderId="1" numFmtId="0" xfId="0" applyFont="1" applyFill="1" applyBorder="1" applyAlignment="1">
      <alignment vertical="center"/>
    </xf>
    <xf fontId="7" fillId="3" borderId="0" numFmtId="0" xfId="0" applyFont="1" applyFill="1" applyAlignment="1">
      <alignment vertical="center"/>
    </xf>
    <xf fontId="8" fillId="3" borderId="0" numFmtId="0" xfId="0" applyFont="1" applyFill="1" applyAlignment="1">
      <alignment horizontal="left" vertical="center"/>
    </xf>
    <xf fontId="5" fillId="3" borderId="0" numFmtId="0" xfId="0" applyFont="1" applyFill="1" applyAlignment="1">
      <alignment vertical="center"/>
    </xf>
    <xf fontId="6" fillId="3" borderId="0" numFmtId="162" xfId="0" applyNumberFormat="1" applyFont="1" applyFill="1" applyAlignment="1">
      <alignment vertical="center"/>
    </xf>
    <xf fontId="6" fillId="3" borderId="0" numFmtId="0" xfId="0" applyFont="1" applyFill="1" applyAlignment="1">
      <alignment vertical="center"/>
    </xf>
    <xf fontId="5" fillId="3" borderId="0" numFmtId="163" xfId="0" applyNumberFormat="1" applyFont="1" applyFill="1" applyAlignment="1">
      <alignment vertical="center"/>
    </xf>
    <xf fontId="9" fillId="3" borderId="0" numFmtId="0" xfId="0" applyFont="1" applyFill="1" applyAlignment="1">
      <alignment horizontal="center" vertical="center" wrapText="1"/>
    </xf>
    <xf fontId="10" fillId="3" borderId="0" numFmtId="0" xfId="0" applyFont="1" applyFill="1" applyAlignment="1">
      <alignment horizontal="left" vertical="center"/>
    </xf>
    <xf fontId="11" fillId="3" borderId="0" numFmtId="0" xfId="0" applyFont="1" applyFill="1" applyAlignment="1">
      <alignment horizontal="center" vertical="center" wrapText="1"/>
    </xf>
    <xf fontId="6" fillId="3" borderId="1" numFmtId="49" xfId="0" applyNumberFormat="1" applyFont="1" applyFill="1" applyBorder="1" applyAlignment="1">
      <alignment horizontal="center" vertical="center" wrapText="1"/>
    </xf>
    <xf fontId="7" fillId="3" borderId="0" numFmtId="0" xfId="0" applyFont="1" applyFill="1" applyAlignment="1">
      <alignment horizontal="center" vertical="center" wrapText="1"/>
    </xf>
    <xf fontId="5" fillId="3" borderId="0" numFmtId="0" xfId="0" applyFont="1" applyFill="1" applyAlignment="1">
      <alignment horizontal="center" vertical="center" wrapText="1"/>
    </xf>
    <xf fontId="6" fillId="3" borderId="0" numFmtId="162" xfId="0" applyNumberFormat="1" applyFont="1" applyFill="1" applyAlignment="1">
      <alignment horizontal="center" vertical="center" wrapText="1"/>
    </xf>
    <xf fontId="6" fillId="3" borderId="0" numFmtId="0" xfId="0" applyFont="1" applyFill="1" applyAlignment="1">
      <alignment horizontal="center" vertical="center" wrapText="1"/>
    </xf>
    <xf fontId="12" fillId="3" borderId="0" numFmtId="0" xfId="0" applyFont="1" applyFill="1" applyAlignment="1">
      <alignment horizontal="right" vertical="center" wrapText="1"/>
    </xf>
    <xf fontId="5" fillId="3" borderId="0" numFmtId="163" xfId="0" applyNumberFormat="1" applyFont="1" applyFill="1" applyAlignment="1">
      <alignment horizontal="center" vertical="center" wrapText="1"/>
    </xf>
    <xf fontId="13" fillId="3" borderId="0" numFmtId="0" xfId="0" applyFont="1" applyFill="1" applyAlignment="1">
      <alignment horizontal="right" vertical="center" wrapText="1"/>
    </xf>
    <xf fontId="13" fillId="3" borderId="0" numFmtId="0" xfId="0" applyFont="1" applyFill="1" applyAlignment="1">
      <alignment horizontal="right" vertical="center"/>
    </xf>
    <xf fontId="14" fillId="0" borderId="0" numFmtId="0" xfId="0" applyFont="1" applyAlignment="1">
      <alignment vertical="center"/>
    </xf>
    <xf fontId="15" fillId="3" borderId="2" numFmtId="49" xfId="0" applyNumberFormat="1" applyFont="1" applyFill="1" applyBorder="1" applyAlignment="1">
      <alignment horizontal="center" vertical="center" wrapText="1"/>
    </xf>
    <xf fontId="14" fillId="3" borderId="3" numFmtId="0" xfId="0" applyFont="1" applyFill="1" applyBorder="1" applyAlignment="1">
      <alignment horizontal="center" vertical="center" wrapText="1"/>
    </xf>
    <xf fontId="16" fillId="3" borderId="4" numFmtId="49" xfId="0" applyNumberFormat="1" applyFont="1" applyFill="1" applyBorder="1" applyAlignment="1">
      <alignment horizontal="center" vertical="center" wrapText="1"/>
    </xf>
    <xf fontId="14" fillId="3" borderId="4" numFmtId="0" xfId="0" applyFont="1" applyFill="1" applyBorder="1" applyAlignment="1">
      <alignment horizontal="center" vertical="center" wrapText="1"/>
    </xf>
    <xf fontId="17" fillId="3" borderId="4" numFmtId="162" xfId="0" applyNumberFormat="1" applyFont="1" applyFill="1" applyBorder="1" applyAlignment="1">
      <alignment horizontal="center" vertical="center" wrapText="1"/>
    </xf>
    <xf fontId="14" fillId="3" borderId="5" numFmtId="162" xfId="0" applyNumberFormat="1" applyFont="1" applyFill="1" applyBorder="1" applyAlignment="1">
      <alignment horizontal="center" vertical="center" wrapText="1"/>
    </xf>
    <xf fontId="15" fillId="3" borderId="6" numFmtId="162" xfId="0" applyNumberFormat="1" applyFont="1" applyFill="1" applyBorder="1" applyAlignment="1">
      <alignment horizontal="center" vertical="center" wrapText="1"/>
    </xf>
    <xf fontId="15" fillId="3" borderId="7" numFmtId="162" xfId="0" applyNumberFormat="1" applyFont="1" applyFill="1" applyBorder="1" applyAlignment="1">
      <alignment horizontal="center" vertical="center" wrapText="1"/>
    </xf>
    <xf fontId="14" fillId="3" borderId="5" numFmtId="163" xfId="0" applyNumberFormat="1" applyFont="1" applyFill="1" applyBorder="1" applyAlignment="1">
      <alignment horizontal="center" vertical="center" wrapText="1"/>
    </xf>
    <xf fontId="14" fillId="3" borderId="7" numFmtId="163" xfId="0" applyNumberFormat="1" applyFont="1" applyFill="1" applyBorder="1" applyAlignment="1">
      <alignment horizontal="center" vertical="center" wrapText="1"/>
    </xf>
    <xf fontId="14" fillId="3" borderId="6" numFmtId="162" xfId="0" applyNumberFormat="1" applyFont="1" applyFill="1" applyBorder="1" applyAlignment="1">
      <alignment horizontal="center" vertical="center" wrapText="1"/>
    </xf>
    <xf fontId="14" fillId="3" borderId="7" numFmtId="162" xfId="0" applyNumberFormat="1" applyFont="1" applyFill="1" applyBorder="1" applyAlignment="1">
      <alignment horizontal="center" vertical="center" wrapText="1"/>
    </xf>
    <xf fontId="14" fillId="3" borderId="4" numFmtId="164" xfId="105" applyNumberFormat="1" applyFont="1" applyFill="1" applyBorder="1" applyAlignment="1" applyProtection="1">
      <alignment horizontal="center" vertical="center" wrapText="1"/>
    </xf>
    <xf fontId="14" fillId="3" borderId="0" numFmtId="0" xfId="0" applyFont="1" applyFill="1" applyAlignment="1">
      <alignment vertical="center"/>
    </xf>
    <xf fontId="14" fillId="3" borderId="4" numFmtId="163" xfId="0" applyNumberFormat="1" applyFont="1" applyFill="1" applyBorder="1" applyAlignment="1">
      <alignment horizontal="center" vertical="center" wrapText="1"/>
    </xf>
    <xf fontId="14" fillId="3" borderId="0" numFmtId="163" xfId="0" applyNumberFormat="1" applyFont="1" applyFill="1" applyAlignment="1">
      <alignment horizontal="center" vertical="center" wrapText="1"/>
    </xf>
    <xf fontId="17" fillId="3" borderId="4" numFmtId="163" xfId="0" applyNumberFormat="1" applyFont="1" applyFill="1" applyBorder="1" applyAlignment="1">
      <alignment horizontal="center" vertical="center" wrapText="1"/>
    </xf>
    <xf fontId="14" fillId="3" borderId="4" numFmtId="162" xfId="0" applyNumberFormat="1" applyFont="1" applyFill="1" applyBorder="1" applyAlignment="1">
      <alignment horizontal="center" vertical="center" wrapText="1"/>
    </xf>
    <xf fontId="14" fillId="3" borderId="0" numFmtId="162" xfId="0" applyNumberFormat="1" applyFont="1" applyFill="1" applyAlignment="1">
      <alignment horizontal="center" vertical="center" wrapText="1"/>
    </xf>
    <xf fontId="18" fillId="0" borderId="0" numFmtId="0" xfId="0" applyFont="1" applyAlignment="1">
      <alignment vertical="center"/>
    </xf>
    <xf fontId="19" fillId="3" borderId="8" numFmtId="49" xfId="0" applyNumberFormat="1" applyFont="1" applyFill="1" applyBorder="1" applyAlignment="1">
      <alignment horizontal="center" vertical="center" wrapText="1"/>
    </xf>
    <xf fontId="18" fillId="3" borderId="9" numFmtId="0" xfId="0" applyFont="1" applyFill="1" applyBorder="1" applyAlignment="1">
      <alignment horizontal="center" vertical="center" wrapText="1"/>
    </xf>
    <xf fontId="16" fillId="3" borderId="10" numFmtId="0" xfId="0" applyFont="1" applyFill="1" applyBorder="1" applyAlignment="1">
      <alignment horizontal="left" vertical="center"/>
    </xf>
    <xf fontId="18" fillId="3" borderId="11" numFmtId="0" xfId="0" applyFont="1" applyFill="1" applyBorder="1" applyAlignment="1">
      <alignment horizontal="center" vertical="center" wrapText="1"/>
    </xf>
    <xf fontId="18" fillId="3" borderId="12" numFmtId="162" xfId="0" applyNumberFormat="1" applyFont="1" applyFill="1" applyBorder="1" applyAlignment="1">
      <alignment vertical="center" wrapText="1"/>
    </xf>
    <xf fontId="18" fillId="3" borderId="10" numFmtId="164" xfId="0" applyNumberFormat="1" applyFont="1" applyFill="1" applyBorder="1" applyAlignment="1">
      <alignment horizontal="right" vertical="center" wrapText="1"/>
    </xf>
    <xf fontId="18" fillId="3" borderId="12" numFmtId="164" xfId="0" applyNumberFormat="1" applyFont="1" applyFill="1" applyBorder="1" applyAlignment="1">
      <alignment horizontal="right" vertical="center" wrapText="1"/>
    </xf>
    <xf fontId="18" fillId="3" borderId="11" numFmtId="164" xfId="0" applyNumberFormat="1" applyFont="1" applyFill="1" applyBorder="1" applyAlignment="1">
      <alignment horizontal="right" vertical="center" wrapText="1"/>
    </xf>
    <xf fontId="18" fillId="3" borderId="13" numFmtId="164" xfId="0" applyNumberFormat="1" applyFont="1" applyFill="1" applyBorder="1" applyAlignment="1">
      <alignment horizontal="right" vertical="center" wrapText="1"/>
    </xf>
    <xf fontId="18" fillId="3" borderId="0" numFmtId="0" xfId="0" applyFont="1" applyFill="1" applyAlignment="1">
      <alignment vertical="center"/>
    </xf>
    <xf fontId="6" fillId="3" borderId="14" numFmtId="49" xfId="0" applyNumberFormat="1" applyFont="1" applyFill="1" applyBorder="1" applyAlignment="1">
      <alignment horizontal="center" vertical="center" wrapText="1"/>
    </xf>
    <xf fontId="7" fillId="3" borderId="15" numFmtId="0" xfId="0" applyFont="1" applyFill="1" applyBorder="1" applyAlignment="1">
      <alignment horizontal="center" vertical="center" wrapText="1"/>
    </xf>
    <xf fontId="8" fillId="3" borderId="16" numFmtId="49" xfId="0" applyNumberFormat="1" applyFont="1" applyFill="1" applyBorder="1" applyAlignment="1">
      <alignment horizontal="left" vertical="center"/>
    </xf>
    <xf fontId="5" fillId="3" borderId="17" numFmtId="0" xfId="0" applyFont="1" applyFill="1" applyBorder="1" applyAlignment="1">
      <alignment vertical="center" wrapText="1"/>
    </xf>
    <xf fontId="5" fillId="3" borderId="17" numFmtId="162" xfId="0" applyNumberFormat="1" applyFont="1" applyFill="1" applyBorder="1" applyAlignment="1">
      <alignment horizontal="right" vertical="center" wrapText="1"/>
    </xf>
    <xf fontId="5" fillId="3" borderId="1" numFmtId="162" xfId="0" applyNumberFormat="1" applyFont="1" applyFill="1" applyBorder="1" applyAlignment="1">
      <alignment horizontal="right" vertical="center" wrapText="1"/>
    </xf>
    <xf fontId="5" fillId="3" borderId="18" numFmtId="162" xfId="0" applyNumberFormat="1" applyFont="1" applyFill="1" applyBorder="1" applyAlignment="1">
      <alignment horizontal="right" vertical="center" wrapText="1"/>
    </xf>
    <xf fontId="5" fillId="3" borderId="19" numFmtId="162" xfId="0" applyNumberFormat="1" applyFont="1" applyFill="1" applyBorder="1" applyAlignment="1">
      <alignment horizontal="right" vertical="center" wrapText="1"/>
    </xf>
    <xf fontId="5" fillId="3" borderId="15" numFmtId="162" xfId="0" applyNumberFormat="1" applyFont="1" applyFill="1" applyBorder="1" applyAlignment="1">
      <alignment horizontal="right" vertical="center" wrapText="1"/>
    </xf>
    <xf fontId="5" fillId="3" borderId="16" numFmtId="162" xfId="0" applyNumberFormat="1" applyFont="1" applyFill="1" applyBorder="1" applyAlignment="1">
      <alignment horizontal="right" vertical="center" wrapText="1"/>
    </xf>
    <xf fontId="5" fillId="3" borderId="15" numFmtId="164" xfId="0" applyNumberFormat="1" applyFont="1" applyFill="1" applyBorder="1" applyAlignment="1">
      <alignment horizontal="right" vertical="center" wrapText="1"/>
    </xf>
    <xf fontId="5" fillId="3" borderId="16" numFmtId="164" xfId="0" applyNumberFormat="1" applyFont="1" applyFill="1" applyBorder="1" applyAlignment="1">
      <alignment horizontal="right" vertical="center" wrapText="1"/>
    </xf>
    <xf fontId="5" fillId="3" borderId="20" numFmtId="164" xfId="0" applyNumberFormat="1" applyFont="1" applyFill="1" applyBorder="1" applyAlignment="1">
      <alignment horizontal="right" vertical="center" wrapText="1"/>
    </xf>
    <xf fontId="6" fillId="3" borderId="21" numFmtId="49" xfId="0" applyNumberFormat="1" applyFont="1" applyFill="1" applyBorder="1" applyAlignment="1">
      <alignment horizontal="center" vertical="center" wrapText="1"/>
    </xf>
    <xf fontId="7" fillId="3" borderId="21" numFmtId="0" xfId="0" applyFont="1" applyFill="1" applyBorder="1" applyAlignment="1">
      <alignment horizontal="center" vertical="center" wrapText="1"/>
    </xf>
    <xf fontId="8" fillId="3" borderId="21" numFmtId="49" xfId="0" applyNumberFormat="1" applyFont="1" applyFill="1" applyBorder="1" applyAlignment="1">
      <alignment horizontal="left" vertical="center"/>
    </xf>
    <xf fontId="5" fillId="3" borderId="21" numFmtId="0" xfId="0" applyFont="1" applyFill="1" applyBorder="1" applyAlignment="1">
      <alignment vertical="center" wrapText="1"/>
    </xf>
    <xf fontId="5" fillId="3" borderId="21" numFmtId="162" xfId="0" applyNumberFormat="1" applyFont="1" applyFill="1" applyBorder="1" applyAlignment="1">
      <alignment vertical="center" wrapText="1"/>
    </xf>
    <xf fontId="5" fillId="3" borderId="7" numFmtId="162" xfId="0" applyNumberFormat="1" applyFont="1" applyFill="1" applyBorder="1" applyAlignment="1">
      <alignment vertical="center" wrapText="1"/>
    </xf>
    <xf fontId="5" fillId="3" borderId="6" numFmtId="162" xfId="0" applyNumberFormat="1" applyFont="1" applyFill="1" applyBorder="1" applyAlignment="1">
      <alignment vertical="center" wrapText="1"/>
    </xf>
    <xf fontId="5" fillId="3" borderId="0" numFmtId="162" xfId="0" applyNumberFormat="1" applyFont="1" applyFill="1" applyAlignment="1">
      <alignment vertical="center" wrapText="1"/>
    </xf>
    <xf fontId="5" fillId="3" borderId="22" numFmtId="162" xfId="0" applyNumberFormat="1" applyFont="1" applyFill="1" applyBorder="1" applyAlignment="1">
      <alignment vertical="center" wrapText="1"/>
    </xf>
    <xf fontId="5" fillId="3" borderId="0" numFmtId="164" xfId="0" applyNumberFormat="1" applyFont="1" applyFill="1" applyAlignment="1">
      <alignment horizontal="right" vertical="center" wrapText="1"/>
    </xf>
    <xf fontId="5" fillId="3" borderId="21" numFmtId="164" xfId="0" applyNumberFormat="1" applyFont="1" applyFill="1" applyBorder="1" applyAlignment="1">
      <alignment horizontal="right" vertical="center" wrapText="1"/>
    </xf>
    <xf fontId="5" fillId="3" borderId="17" numFmtId="164" xfId="0" applyNumberFormat="1" applyFont="1" applyFill="1" applyBorder="1" applyAlignment="1">
      <alignment horizontal="right" vertical="center" wrapText="1"/>
    </xf>
    <xf fontId="5" fillId="3" borderId="23" numFmtId="164" xfId="0" applyNumberFormat="1" applyFont="1" applyFill="1" applyBorder="1" applyAlignment="1">
      <alignment horizontal="right" vertical="center" wrapText="1"/>
    </xf>
    <xf fontId="8" fillId="3" borderId="0" numFmtId="49" xfId="0" applyNumberFormat="1" applyFont="1" applyFill="1" applyAlignment="1">
      <alignment horizontal="left" vertical="center"/>
    </xf>
    <xf fontId="6" fillId="3" borderId="4" numFmtId="49" xfId="0" applyNumberFormat="1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center" vertical="center" wrapText="1"/>
    </xf>
    <xf fontId="5" fillId="3" borderId="24" numFmtId="0" xfId="0" applyFont="1" applyFill="1" applyBorder="1" applyAlignment="1">
      <alignment vertical="center" wrapText="1"/>
    </xf>
    <xf fontId="5" fillId="3" borderId="4" numFmtId="162" xfId="0" applyNumberFormat="1" applyFont="1" applyFill="1" applyBorder="1" applyAlignment="1">
      <alignment vertical="center" wrapText="1"/>
    </xf>
    <xf fontId="5" fillId="3" borderId="25" numFmtId="162" xfId="0" applyNumberFormat="1" applyFont="1" applyFill="1" applyBorder="1" applyAlignment="1">
      <alignment vertical="center" wrapText="1"/>
    </xf>
    <xf fontId="5" fillId="3" borderId="1" numFmtId="162" xfId="0" applyNumberFormat="1" applyFont="1" applyFill="1" applyBorder="1" applyAlignment="1">
      <alignment vertical="center" wrapText="1"/>
    </xf>
    <xf fontId="5" fillId="3" borderId="4" numFmtId="164" xfId="0" applyNumberFormat="1" applyFont="1" applyFill="1" applyBorder="1" applyAlignment="1">
      <alignment horizontal="right" vertical="center" wrapText="1"/>
    </xf>
    <xf fontId="5" fillId="3" borderId="26" numFmtId="164" xfId="0" applyNumberFormat="1" applyFont="1" applyFill="1" applyBorder="1" applyAlignment="1">
      <alignment horizontal="right" vertical="center" wrapText="1"/>
    </xf>
    <xf fontId="18" fillId="3" borderId="27" numFmtId="165" xfId="0" applyNumberFormat="1" applyFont="1" applyFill="1" applyBorder="1" applyAlignment="1">
      <alignment horizontal="center" vertical="center" wrapText="1"/>
    </xf>
    <xf fontId="18" fillId="3" borderId="10" numFmtId="165" xfId="0" applyNumberFormat="1" applyFont="1" applyFill="1" applyBorder="1" applyAlignment="1">
      <alignment horizontal="center" vertical="center" wrapText="1"/>
    </xf>
    <xf fontId="10" fillId="3" borderId="10" numFmtId="165" xfId="0" applyNumberFormat="1" applyFont="1" applyFill="1" applyBorder="1" applyAlignment="1">
      <alignment horizontal="left" vertical="center"/>
    </xf>
    <xf fontId="18" fillId="3" borderId="11" numFmtId="165" xfId="0" applyNumberFormat="1" applyFont="1" applyFill="1" applyBorder="1" applyAlignment="1">
      <alignment horizontal="center" vertical="center" wrapText="1"/>
    </xf>
    <xf fontId="18" fillId="3" borderId="12" numFmtId="162" xfId="0" applyNumberFormat="1" applyFont="1" applyFill="1" applyBorder="1" applyAlignment="1">
      <alignment horizontal="right" vertical="center" wrapText="1"/>
    </xf>
    <xf fontId="18" fillId="3" borderId="10" numFmtId="162" xfId="0" applyNumberFormat="1" applyFont="1" applyFill="1" applyBorder="1" applyAlignment="1">
      <alignment horizontal="right" vertical="center" wrapText="1"/>
    </xf>
    <xf fontId="6" fillId="3" borderId="28" numFmtId="49" xfId="0" applyNumberFormat="1" applyFont="1" applyFill="1" applyBorder="1" applyAlignment="1">
      <alignment horizontal="center" vertical="center" wrapText="1"/>
    </xf>
    <xf fontId="7" fillId="3" borderId="29" numFmtId="0" xfId="0" applyFont="1" applyFill="1" applyBorder="1" applyAlignment="1">
      <alignment horizontal="center" vertical="center" wrapText="1"/>
    </xf>
    <xf fontId="8" fillId="3" borderId="15" numFmtId="0" xfId="0" applyFont="1" applyFill="1" applyBorder="1" applyAlignment="1">
      <alignment horizontal="left" vertical="center"/>
    </xf>
    <xf fontId="5" fillId="3" borderId="15" numFmtId="165" xfId="0" applyNumberFormat="1" applyFont="1" applyFill="1" applyBorder="1" applyAlignment="1">
      <alignment vertical="center" wrapText="1"/>
    </xf>
    <xf fontId="5" fillId="3" borderId="30" numFmtId="162" xfId="0" applyNumberFormat="1" applyFont="1" applyFill="1" applyBorder="1" applyAlignment="1">
      <alignment horizontal="right" vertical="center" wrapText="1"/>
    </xf>
    <xf fontId="5" fillId="3" borderId="31" numFmtId="162" xfId="0" applyNumberFormat="1" applyFont="1" applyFill="1" applyBorder="1" applyAlignment="1">
      <alignment horizontal="right" vertical="center" wrapText="1"/>
    </xf>
    <xf fontId="6" fillId="3" borderId="23" numFmtId="49" xfId="0" applyNumberFormat="1" applyFont="1" applyFill="1" applyBorder="1" applyAlignment="1">
      <alignment horizontal="center" vertical="center" wrapText="1"/>
    </xf>
    <xf fontId="7" fillId="3" borderId="32" numFmtId="0" xfId="0" applyFont="1" applyFill="1" applyBorder="1" applyAlignment="1">
      <alignment horizontal="center" vertical="center" wrapText="1"/>
    </xf>
    <xf fontId="5" fillId="3" borderId="0" numFmtId="165" xfId="0" applyNumberFormat="1" applyFont="1" applyFill="1" applyAlignment="1">
      <alignment vertical="center" wrapText="1"/>
    </xf>
    <xf fontId="5" fillId="3" borderId="21" numFmtId="162" xfId="0" applyNumberFormat="1" applyFont="1" applyFill="1" applyBorder="1" applyAlignment="1">
      <alignment horizontal="right" vertical="center" wrapText="1"/>
    </xf>
    <xf fontId="5" fillId="3" borderId="0" numFmtId="162" xfId="0" applyNumberFormat="1" applyFont="1" applyFill="1" applyAlignment="1">
      <alignment horizontal="right" vertical="center" wrapText="1"/>
    </xf>
    <xf fontId="5" fillId="3" borderId="21" numFmtId="165" xfId="0" applyNumberFormat="1" applyFont="1" applyFill="1" applyBorder="1" applyAlignment="1">
      <alignment vertical="center" wrapText="1"/>
    </xf>
    <xf fontId="5" fillId="3" borderId="6" numFmtId="162" xfId="0" applyNumberFormat="1" applyFont="1" applyFill="1" applyBorder="1" applyAlignment="1">
      <alignment horizontal="right" vertical="center" wrapText="1"/>
    </xf>
    <xf fontId="20" fillId="0" borderId="0" numFmtId="0" xfId="0" applyFont="1" applyAlignment="1">
      <alignment vertical="center"/>
    </xf>
    <xf fontId="21" fillId="3" borderId="23" numFmtId="49" xfId="0" applyNumberFormat="1" applyFont="1" applyFill="1" applyBorder="1" applyAlignment="1">
      <alignment horizontal="center" vertical="center" wrapText="1"/>
    </xf>
    <xf fontId="20" fillId="3" borderId="33" numFmtId="0" xfId="0" applyFont="1" applyFill="1" applyBorder="1" applyAlignment="1">
      <alignment horizontal="center" vertical="center" wrapText="1"/>
    </xf>
    <xf fontId="22" fillId="3" borderId="34" numFmtId="49" xfId="0" applyNumberFormat="1" applyFont="1" applyFill="1" applyBorder="1" applyAlignment="1">
      <alignment horizontal="left" vertical="center"/>
    </xf>
    <xf fontId="20" fillId="3" borderId="35" numFmtId="0" xfId="0" applyFont="1" applyFill="1" applyBorder="1" applyAlignment="1">
      <alignment vertical="center" wrapText="1"/>
    </xf>
    <xf fontId="20" fillId="3" borderId="34" numFmtId="162" xfId="0" applyNumberFormat="1" applyFont="1" applyFill="1" applyBorder="1" applyAlignment="1">
      <alignment horizontal="right" vertical="center" wrapText="1"/>
    </xf>
    <xf fontId="20" fillId="3" borderId="4" numFmtId="162" xfId="0" applyNumberFormat="1" applyFont="1" applyFill="1" applyBorder="1" applyAlignment="1">
      <alignment horizontal="right" vertical="center" wrapText="1"/>
    </xf>
    <xf fontId="20" fillId="3" borderId="34" numFmtId="164" xfId="0" applyNumberFormat="1" applyFont="1" applyFill="1" applyBorder="1" applyAlignment="1">
      <alignment horizontal="right" vertical="center" wrapText="1"/>
    </xf>
    <xf fontId="20" fillId="3" borderId="36" numFmtId="164" xfId="0" applyNumberFormat="1" applyFont="1" applyFill="1" applyBorder="1" applyAlignment="1">
      <alignment horizontal="right" vertical="center" wrapText="1"/>
    </xf>
    <xf fontId="20" fillId="3" borderId="0" numFmtId="0" xfId="0" applyFont="1" applyFill="1" applyAlignment="1">
      <alignment vertical="center"/>
    </xf>
    <xf fontId="6" fillId="3" borderId="26" numFmtId="1" xfId="0" applyNumberFormat="1" applyFont="1" applyFill="1" applyBorder="1" applyAlignment="1">
      <alignment horizontal="center" vertical="center" wrapText="1"/>
    </xf>
    <xf fontId="8" fillId="3" borderId="16" numFmtId="0" xfId="0" applyFont="1" applyFill="1" applyBorder="1" applyAlignment="1">
      <alignment horizontal="left" vertical="center"/>
    </xf>
    <xf fontId="5" fillId="3" borderId="37" numFmtId="0" xfId="0" applyFont="1" applyFill="1" applyBorder="1" applyAlignment="1">
      <alignment horizontal="left" vertical="center" wrapText="1"/>
    </xf>
    <xf fontId="5" fillId="3" borderId="38" numFmtId="164" xfId="0" applyNumberFormat="1" applyFont="1" applyFill="1" applyBorder="1" applyAlignment="1">
      <alignment horizontal="right" vertical="center" wrapText="1"/>
    </xf>
    <xf fontId="6" fillId="3" borderId="23" numFmtId="0" xfId="0" applyFont="1" applyFill="1" applyBorder="1" applyAlignment="1">
      <alignment horizontal="center" vertical="center" wrapText="1"/>
    </xf>
    <xf fontId="8" fillId="3" borderId="21" numFmtId="0" xfId="0" applyFont="1" applyFill="1" applyBorder="1" applyAlignment="1">
      <alignment horizontal="left" vertical="center"/>
    </xf>
    <xf fontId="5" fillId="3" borderId="7" numFmtId="162" xfId="0" applyNumberFormat="1" applyFont="1" applyFill="1" applyBorder="1" applyAlignment="1">
      <alignment horizontal="right" vertical="center" wrapText="1"/>
    </xf>
    <xf fontId="6" fillId="3" borderId="26" numFmtId="0" xfId="0" applyFont="1" applyFill="1" applyBorder="1" applyAlignment="1">
      <alignment horizontal="center" vertical="center" wrapText="1"/>
    </xf>
    <xf fontId="7" fillId="3" borderId="39" numFmtId="0" xfId="0" applyFont="1" applyFill="1" applyBorder="1" applyAlignment="1">
      <alignment horizontal="center" vertical="center" wrapText="1"/>
    </xf>
    <xf fontId="8" fillId="3" borderId="21" numFmtId="166" xfId="0" applyNumberFormat="1" applyFont="1" applyFill="1" applyBorder="1" applyAlignment="1">
      <alignment vertical="center"/>
    </xf>
    <xf fontId="23" fillId="3" borderId="5" numFmtId="165" xfId="0" applyNumberFormat="1" applyFont="1" applyFill="1" applyBorder="1" applyAlignment="1">
      <alignment vertical="center" wrapText="1"/>
    </xf>
    <xf fontId="21" fillId="3" borderId="26" numFmtId="0" xfId="0" applyFont="1" applyFill="1" applyBorder="1" applyAlignment="1">
      <alignment horizontal="center" vertical="center" wrapText="1"/>
    </xf>
    <xf fontId="22" fillId="3" borderId="35" numFmtId="49" xfId="0" applyNumberFormat="1" applyFont="1" applyFill="1" applyBorder="1" applyAlignment="1">
      <alignment horizontal="left" vertical="center"/>
    </xf>
    <xf fontId="20" fillId="3" borderId="34" numFmtId="0" xfId="0" applyFont="1" applyFill="1" applyBorder="1" applyAlignment="1">
      <alignment vertical="center" wrapText="1"/>
    </xf>
    <xf fontId="20" fillId="3" borderId="35" numFmtId="162" xfId="0" applyNumberFormat="1" applyFont="1" applyFill="1" applyBorder="1" applyAlignment="1">
      <alignment horizontal="right" vertical="center" wrapText="1"/>
    </xf>
    <xf fontId="20" fillId="3" borderId="35" numFmtId="164" xfId="0" applyNumberFormat="1" applyFont="1" applyFill="1" applyBorder="1" applyAlignment="1">
      <alignment horizontal="right" vertical="center" wrapText="1"/>
    </xf>
    <xf fontId="20" fillId="3" borderId="40" numFmtId="164" xfId="0" applyNumberFormat="1" applyFont="1" applyFill="1" applyBorder="1" applyAlignment="1">
      <alignment horizontal="right" vertical="center" wrapText="1"/>
    </xf>
    <xf fontId="8" fillId="3" borderId="15" numFmtId="49" xfId="0" applyNumberFormat="1" applyFont="1" applyFill="1" applyBorder="1" applyAlignment="1">
      <alignment horizontal="left" vertical="center"/>
    </xf>
    <xf fontId="5" fillId="3" borderId="16" numFmtId="165" xfId="0" applyNumberFormat="1" applyFont="1" applyFill="1" applyBorder="1" applyAlignment="1">
      <alignment vertical="center" wrapText="1"/>
    </xf>
    <xf fontId="5" fillId="3" borderId="21" numFmtId="165" xfId="0" applyNumberFormat="1" applyFont="1" applyFill="1" applyBorder="1" applyAlignment="1">
      <alignment horizontal="left" vertical="center" wrapText="1"/>
    </xf>
    <xf fontId="5" fillId="3" borderId="21" numFmtId="0" xfId="0" applyFont="1" applyFill="1" applyBorder="1" applyAlignment="1">
      <alignment horizontal="left" vertical="center" wrapText="1"/>
    </xf>
    <xf fontId="5" fillId="3" borderId="0" numFmtId="0" xfId="0" applyFont="1" applyFill="1" applyAlignment="1">
      <alignment horizontal="left" vertical="center" wrapText="1"/>
    </xf>
    <xf fontId="24" fillId="0" borderId="0" numFmtId="0" xfId="0" applyFont="1" applyAlignment="1">
      <alignment vertical="center"/>
    </xf>
    <xf fontId="21" fillId="3" borderId="28" numFmtId="49" xfId="0" applyNumberFormat="1" applyFont="1" applyFill="1" applyBorder="1" applyAlignment="1">
      <alignment horizontal="center" vertical="center" wrapText="1"/>
    </xf>
    <xf fontId="25" fillId="3" borderId="32" numFmtId="0" xfId="0" applyFont="1" applyFill="1" applyBorder="1" applyAlignment="1">
      <alignment horizontal="center" vertical="center" wrapText="1"/>
    </xf>
    <xf fontId="22" fillId="3" borderId="0" numFmtId="0" xfId="0" applyFont="1" applyFill="1" applyAlignment="1">
      <alignment horizontal="left" vertical="center"/>
    </xf>
    <xf fontId="24" fillId="3" borderId="5" numFmtId="0" xfId="0" applyFont="1" applyFill="1" applyBorder="1" applyAlignment="1">
      <alignment horizontal="left" vertical="center" wrapText="1"/>
    </xf>
    <xf fontId="24" fillId="3" borderId="21" numFmtId="162" xfId="0" applyNumberFormat="1" applyFont="1" applyFill="1" applyBorder="1" applyAlignment="1">
      <alignment horizontal="right" vertical="center" wrapText="1"/>
    </xf>
    <xf fontId="24" fillId="3" borderId="7" numFmtId="162" xfId="0" applyNumberFormat="1" applyFont="1" applyFill="1" applyBorder="1" applyAlignment="1">
      <alignment horizontal="right" vertical="center" wrapText="1"/>
    </xf>
    <xf fontId="24" fillId="3" borderId="6" numFmtId="162" xfId="0" applyNumberFormat="1" applyFont="1" applyFill="1" applyBorder="1" applyAlignment="1">
      <alignment horizontal="right" vertical="center" wrapText="1"/>
    </xf>
    <xf fontId="24" fillId="3" borderId="0" numFmtId="162" xfId="0" applyNumberFormat="1" applyFont="1" applyFill="1" applyAlignment="1">
      <alignment horizontal="right" vertical="center" wrapText="1"/>
    </xf>
    <xf fontId="20" fillId="3" borderId="0" numFmtId="164" xfId="0" applyNumberFormat="1" applyFont="1" applyFill="1" applyAlignment="1">
      <alignment horizontal="right" vertical="center" wrapText="1"/>
    </xf>
    <xf fontId="24" fillId="3" borderId="21" numFmtId="164" xfId="0" applyNumberFormat="1" applyFont="1" applyFill="1" applyBorder="1" applyAlignment="1">
      <alignment horizontal="right" vertical="center" wrapText="1"/>
    </xf>
    <xf fontId="24" fillId="3" borderId="17" numFmtId="164" xfId="0" applyNumberFormat="1" applyFont="1" applyFill="1" applyBorder="1" applyAlignment="1">
      <alignment horizontal="right" vertical="center" wrapText="1"/>
    </xf>
    <xf fontId="24" fillId="3" borderId="23" numFmtId="164" xfId="0" applyNumberFormat="1" applyFont="1" applyFill="1" applyBorder="1" applyAlignment="1">
      <alignment horizontal="right" vertical="center" wrapText="1"/>
    </xf>
    <xf fontId="24" fillId="3" borderId="0" numFmtId="0" xfId="0" applyFont="1" applyFill="1" applyAlignment="1">
      <alignment vertical="center"/>
    </xf>
    <xf fontId="22" fillId="3" borderId="21" numFmtId="0" xfId="0" applyFont="1" applyFill="1" applyBorder="1" applyAlignment="1">
      <alignment horizontal="left" vertical="center"/>
    </xf>
    <xf fontId="24" fillId="3" borderId="21" numFmtId="0" xfId="0" applyFont="1" applyFill="1" applyBorder="1" applyAlignment="1">
      <alignment horizontal="left" vertical="center" wrapText="1"/>
    </xf>
    <xf fontId="20" fillId="3" borderId="21" numFmtId="164" xfId="0" applyNumberFormat="1" applyFont="1" applyFill="1" applyBorder="1" applyAlignment="1">
      <alignment horizontal="right" vertical="center" wrapText="1"/>
    </xf>
    <xf fontId="24" fillId="3" borderId="0" numFmtId="164" xfId="0" applyNumberFormat="1" applyFont="1" applyFill="1" applyAlignment="1">
      <alignment horizontal="right" vertical="center" wrapText="1"/>
    </xf>
    <xf fontId="24" fillId="3" borderId="41" numFmtId="162" xfId="0" applyNumberFormat="1" applyFont="1" applyFill="1" applyBorder="1" applyAlignment="1">
      <alignment horizontal="right" vertical="center" wrapText="1"/>
    </xf>
    <xf fontId="20" fillId="3" borderId="33" numFmtId="49" xfId="0" applyNumberFormat="1" applyFont="1" applyFill="1" applyBorder="1" applyAlignment="1">
      <alignment horizontal="center" vertical="center" wrapText="1"/>
    </xf>
    <xf fontId="5" fillId="3" borderId="5" numFmtId="165" xfId="0" applyNumberFormat="1" applyFont="1" applyFill="1" applyBorder="1" applyAlignment="1">
      <alignment vertical="center" wrapText="1"/>
    </xf>
    <xf fontId="20" fillId="3" borderId="34" numFmtId="162" xfId="0" applyNumberFormat="1" applyFont="1" applyFill="1" applyBorder="1" applyAlignment="1">
      <alignment vertical="center" wrapText="1"/>
    </xf>
    <xf fontId="20" fillId="3" borderId="35" numFmtId="162" xfId="0" applyNumberFormat="1" applyFont="1" applyFill="1" applyBorder="1" applyAlignment="1">
      <alignment vertical="center" wrapText="1"/>
    </xf>
    <xf fontId="6" fillId="3" borderId="26" numFmtId="49" xfId="0" applyNumberFormat="1" applyFont="1" applyFill="1" applyBorder="1" applyAlignment="1">
      <alignment horizontal="center" vertical="center" wrapText="1"/>
    </xf>
    <xf fontId="7" fillId="3" borderId="42" numFmtId="0" xfId="0" applyFont="1" applyFill="1" applyBorder="1" applyAlignment="1">
      <alignment horizontal="center" vertical="center" wrapText="1"/>
    </xf>
    <xf fontId="5" fillId="3" borderId="37" numFmtId="165" xfId="0" applyNumberFormat="1" applyFont="1" applyFill="1" applyBorder="1" applyAlignment="1">
      <alignment vertical="center" wrapText="1"/>
    </xf>
    <xf fontId="7" fillId="3" borderId="43" numFmtId="0" xfId="0" applyFont="1" applyFill="1" applyBorder="1" applyAlignment="1">
      <alignment horizontal="center" vertical="center" wrapText="1"/>
    </xf>
    <xf fontId="26" fillId="3" borderId="21" numFmtId="165" xfId="0" applyNumberFormat="1" applyFont="1" applyFill="1" applyBorder="1" applyAlignment="1">
      <alignment horizontal="right" vertical="center" wrapText="1"/>
    </xf>
    <xf fontId="18" fillId="3" borderId="21" numFmtId="162" xfId="0" applyNumberFormat="1" applyFont="1" applyFill="1" applyBorder="1" applyAlignment="1">
      <alignment horizontal="right" vertical="center" wrapText="1"/>
    </xf>
    <xf fontId="18" fillId="3" borderId="21" numFmtId="164" xfId="0" applyNumberFormat="1" applyFont="1" applyFill="1" applyBorder="1" applyAlignment="1">
      <alignment horizontal="right" vertical="center" wrapText="1"/>
    </xf>
    <xf fontId="18" fillId="3" borderId="23" numFmtId="164" xfId="0" applyNumberFormat="1" applyFont="1" applyFill="1" applyBorder="1" applyAlignment="1">
      <alignment horizontal="right" vertical="center" wrapText="1"/>
    </xf>
    <xf fontId="8" fillId="3" borderId="4" numFmtId="49" xfId="0" applyNumberFormat="1" applyFont="1" applyFill="1" applyBorder="1" applyAlignment="1">
      <alignment horizontal="left" vertical="center"/>
    </xf>
    <xf fontId="5" fillId="3" borderId="1" numFmtId="165" xfId="0" applyNumberFormat="1" applyFont="1" applyFill="1" applyBorder="1" applyAlignment="1">
      <alignment vertical="center" wrapText="1"/>
    </xf>
    <xf fontId="5" fillId="3" borderId="4" numFmtId="162" xfId="0" applyNumberFormat="1" applyFont="1" applyFill="1" applyBorder="1" applyAlignment="1">
      <alignment horizontal="right" vertical="center" wrapText="1"/>
    </xf>
    <xf fontId="6" fillId="3" borderId="44" numFmtId="49" xfId="0" applyNumberFormat="1" applyFont="1" applyFill="1" applyBorder="1" applyAlignment="1">
      <alignment horizontal="center" vertical="center" wrapText="1"/>
    </xf>
    <xf fontId="8" fillId="3" borderId="19" numFmtId="166" xfId="0" applyNumberFormat="1" applyFont="1" applyFill="1" applyBorder="1" applyAlignment="1">
      <alignment vertical="center"/>
    </xf>
    <xf fontId="5" fillId="3" borderId="19" numFmtId="164" xfId="0" applyNumberFormat="1" applyFont="1" applyFill="1" applyBorder="1" applyAlignment="1">
      <alignment horizontal="right" vertical="center" wrapText="1"/>
    </xf>
    <xf fontId="5" fillId="3" borderId="44" numFmtId="164" xfId="0" applyNumberFormat="1" applyFont="1" applyFill="1" applyBorder="1" applyAlignment="1">
      <alignment horizontal="right" vertical="center" wrapText="1"/>
    </xf>
    <xf fontId="25" fillId="3" borderId="45" numFmtId="0" xfId="0" applyFont="1" applyFill="1" applyBorder="1" applyAlignment="1">
      <alignment horizontal="center" vertical="center" wrapText="1"/>
    </xf>
    <xf fontId="21" fillId="3" borderId="23" numFmtId="0" xfId="0" applyFont="1" applyFill="1" applyBorder="1" applyAlignment="1">
      <alignment horizontal="center" vertical="center" wrapText="1"/>
    </xf>
    <xf fontId="5" fillId="3" borderId="37" numFmtId="165" xfId="0" applyNumberFormat="1" applyFont="1" applyFill="1" applyBorder="1" applyAlignment="1">
      <alignment horizontal="left" vertical="center" wrapText="1"/>
    </xf>
    <xf fontId="5" fillId="3" borderId="21" numFmtId="4" xfId="0" applyNumberFormat="1" applyFont="1" applyFill="1" applyBorder="1" applyAlignment="1">
      <alignment horizontal="right" vertical="center" wrapText="1"/>
    </xf>
    <xf fontId="5" fillId="3" borderId="0" numFmtId="4" xfId="0" applyNumberFormat="1" applyFont="1" applyFill="1" applyAlignment="1">
      <alignment horizontal="right" vertical="center" wrapText="1"/>
    </xf>
    <xf fontId="13" fillId="3" borderId="23" numFmtId="164" xfId="0" applyNumberFormat="1" applyFont="1" applyFill="1" applyBorder="1" applyAlignment="1">
      <alignment horizontal="right" vertical="center" wrapText="1"/>
    </xf>
    <xf fontId="13" fillId="3" borderId="0" numFmtId="164" xfId="0" applyNumberFormat="1" applyFont="1" applyFill="1" applyAlignment="1">
      <alignment horizontal="right" vertical="center" wrapText="1"/>
    </xf>
    <xf fontId="13" fillId="3" borderId="21" numFmtId="164" xfId="0" applyNumberFormat="1" applyFont="1" applyFill="1" applyBorder="1" applyAlignment="1">
      <alignment horizontal="right"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20" fillId="3" borderId="39" numFmtId="0" xfId="0" applyFont="1" applyFill="1" applyBorder="1" applyAlignment="1">
      <alignment horizontal="center" vertical="center" wrapText="1"/>
    </xf>
    <xf fontId="22" fillId="3" borderId="0" numFmtId="49" xfId="0" applyNumberFormat="1" applyFont="1" applyFill="1" applyAlignment="1">
      <alignment horizontal="left" vertical="center"/>
    </xf>
    <xf fontId="20" fillId="3" borderId="4" numFmtId="0" xfId="0" applyFont="1" applyFill="1" applyBorder="1" applyAlignment="1">
      <alignment vertical="center" wrapText="1"/>
    </xf>
    <xf fontId="20" fillId="3" borderId="0" numFmtId="162" xfId="0" applyNumberFormat="1" applyFont="1" applyFill="1" applyAlignment="1">
      <alignment horizontal="right" vertical="center" wrapText="1"/>
    </xf>
    <xf fontId="20" fillId="3" borderId="4" numFmtId="164" xfId="0" applyNumberFormat="1" applyFont="1" applyFill="1" applyBorder="1" applyAlignment="1">
      <alignment horizontal="right" vertical="center" wrapText="1"/>
    </xf>
    <xf fontId="20" fillId="3" borderId="17" numFmtId="164" xfId="0" applyNumberFormat="1" applyFont="1" applyFill="1" applyBorder="1" applyAlignment="1">
      <alignment horizontal="right" vertical="center" wrapText="1"/>
    </xf>
    <xf fontId="20" fillId="3" borderId="26" numFmtId="164" xfId="0" applyNumberFormat="1" applyFont="1" applyFill="1" applyBorder="1" applyAlignment="1">
      <alignment horizontal="right" vertical="center" wrapText="1"/>
    </xf>
    <xf fontId="19" fillId="3" borderId="5" numFmtId="0" xfId="0" applyFont="1" applyFill="1" applyBorder="1" applyAlignment="1">
      <alignment vertical="center"/>
    </xf>
    <xf fontId="18" fillId="3" borderId="9" numFmtId="167" xfId="0" applyNumberFormat="1" applyFont="1" applyFill="1" applyBorder="1" applyAlignment="1">
      <alignment horizontal="center" vertical="center" wrapText="1"/>
    </xf>
    <xf fontId="16" fillId="3" borderId="10" numFmtId="167" xfId="0" applyNumberFormat="1" applyFont="1" applyFill="1" applyBorder="1" applyAlignment="1">
      <alignment horizontal="left" vertical="center"/>
    </xf>
    <xf fontId="18" fillId="3" borderId="11" numFmtId="167" xfId="0" applyNumberFormat="1" applyFont="1" applyFill="1" applyBorder="1" applyAlignment="1">
      <alignment horizontal="center" vertical="center" wrapText="1"/>
    </xf>
    <xf fontId="19" fillId="3" borderId="23" numFmtId="49" xfId="0" applyNumberFormat="1" applyFont="1" applyFill="1" applyBorder="1" applyAlignment="1">
      <alignment vertical="center" wrapText="1"/>
    </xf>
    <xf fontId="18" fillId="3" borderId="46" numFmtId="165" xfId="0" applyNumberFormat="1" applyFont="1" applyFill="1" applyBorder="1" applyAlignment="1">
      <alignment horizontal="center" vertical="center" wrapText="1"/>
    </xf>
    <xf fontId="16" fillId="3" borderId="47" numFmtId="165" xfId="0" applyNumberFormat="1" applyFont="1" applyFill="1" applyBorder="1" applyAlignment="1">
      <alignment horizontal="left" vertical="center"/>
    </xf>
    <xf fontId="18" fillId="3" borderId="18" numFmtId="165" xfId="0" applyNumberFormat="1" applyFont="1" applyFill="1" applyBorder="1" applyAlignment="1">
      <alignment horizontal="center" vertical="center" wrapText="1"/>
    </xf>
    <xf fontId="18" fillId="3" borderId="19" numFmtId="162" xfId="0" applyNumberFormat="1" applyFont="1" applyFill="1" applyBorder="1" applyAlignment="1">
      <alignment horizontal="right" vertical="center" wrapText="1"/>
    </xf>
    <xf fontId="18" fillId="3" borderId="0" numFmtId="162" xfId="0" applyNumberFormat="1" applyFont="1" applyFill="1" applyAlignment="1">
      <alignment horizontal="right" vertical="center" wrapText="1"/>
    </xf>
    <xf fontId="18" fillId="3" borderId="0" numFmtId="164" xfId="0" applyNumberFormat="1" applyFont="1" applyFill="1" applyAlignment="1">
      <alignment horizontal="right" vertical="center" wrapText="1"/>
    </xf>
    <xf fontId="18" fillId="3" borderId="19" numFmtId="164" xfId="0" applyNumberFormat="1" applyFont="1" applyFill="1" applyBorder="1" applyAlignment="1">
      <alignment horizontal="right" vertical="center" wrapText="1"/>
    </xf>
    <xf fontId="18" fillId="3" borderId="17" numFmtId="164" xfId="0" applyNumberFormat="1" applyFont="1" applyFill="1" applyBorder="1" applyAlignment="1">
      <alignment horizontal="right" vertical="center" wrapText="1"/>
    </xf>
    <xf fontId="18" fillId="3" borderId="44" numFmtId="164" xfId="0" applyNumberFormat="1" applyFont="1" applyFill="1" applyBorder="1" applyAlignment="1">
      <alignment horizontal="right" vertical="center" wrapText="1"/>
    </xf>
    <xf fontId="6" fillId="3" borderId="24" numFmtId="49" xfId="0" applyNumberFormat="1" applyFont="1" applyFill="1" applyBorder="1" applyAlignment="1">
      <alignment horizontal="center" vertical="center" wrapText="1"/>
    </xf>
    <xf fontId="17" fillId="3" borderId="39" numFmtId="0" xfId="0" applyFont="1" applyFill="1" applyBorder="1" applyAlignment="1">
      <alignment horizontal="center" vertical="center" wrapText="1"/>
    </xf>
    <xf fontId="23" fillId="3" borderId="0" numFmtId="162" xfId="0" applyNumberFormat="1" applyFont="1" applyFill="1" applyAlignment="1">
      <alignment vertical="center" wrapText="1"/>
    </xf>
    <xf fontId="6" fillId="3" borderId="5" numFmtId="49" xfId="0" applyNumberFormat="1" applyFont="1" applyFill="1" applyBorder="1" applyAlignment="1">
      <alignment horizontal="center" vertical="center" wrapText="1"/>
    </xf>
    <xf fontId="17" fillId="3" borderId="32" numFmtId="0" xfId="0" applyFont="1" applyFill="1" applyBorder="1" applyAlignment="1">
      <alignment horizontal="center" vertical="center" wrapText="1"/>
    </xf>
    <xf fontId="23" fillId="3" borderId="5" numFmtId="162" xfId="0" applyNumberFormat="1" applyFont="1" applyFill="1" applyBorder="1" applyAlignment="1">
      <alignment vertical="center" wrapText="1"/>
    </xf>
    <xf fontId="23" fillId="3" borderId="5" numFmtId="0" xfId="0" applyFont="1" applyFill="1" applyBorder="1" applyAlignment="1">
      <alignment horizontal="left" vertical="center" wrapText="1"/>
    </xf>
    <xf fontId="5" fillId="3" borderId="24" numFmtId="162" xfId="0" applyNumberFormat="1" applyFont="1" applyFill="1" applyBorder="1" applyAlignment="1">
      <alignment horizontal="right" vertical="center" wrapText="1"/>
    </xf>
    <xf fontId="19" fillId="3" borderId="5" numFmtId="49" xfId="0" applyNumberFormat="1" applyFont="1" applyFill="1" applyBorder="1" applyAlignment="1">
      <alignment horizontal="center" vertical="center" wrapText="1"/>
    </xf>
    <xf fontId="23" fillId="3" borderId="0" numFmtId="0" xfId="0" applyFont="1" applyFill="1" applyAlignment="1">
      <alignment horizontal="left" vertical="center" wrapText="1"/>
    </xf>
    <xf fontId="8" fillId="3" borderId="18" numFmtId="49" xfId="0" applyNumberFormat="1" applyFont="1" applyFill="1" applyBorder="1" applyAlignment="1">
      <alignment horizontal="left" vertical="center"/>
    </xf>
    <xf fontId="8" fillId="3" borderId="17" numFmtId="49" xfId="0" applyNumberFormat="1" applyFont="1" applyFill="1" applyBorder="1" applyAlignment="1">
      <alignment horizontal="left" vertical="center"/>
    </xf>
    <xf fontId="23" fillId="3" borderId="0" numFmtId="165" xfId="0" applyNumberFormat="1" applyFont="1" applyFill="1" applyAlignment="1">
      <alignment vertical="center" wrapText="1"/>
    </xf>
    <xf fontId="5" fillId="3" borderId="34" numFmtId="162" xfId="0" applyNumberFormat="1" applyFont="1" applyFill="1" applyBorder="1" applyAlignment="1">
      <alignment horizontal="right" vertical="center" wrapText="1"/>
    </xf>
    <xf fontId="5" fillId="3" borderId="48" numFmtId="162" xfId="0" applyNumberFormat="1" applyFont="1" applyFill="1" applyBorder="1" applyAlignment="1">
      <alignment horizontal="right" vertical="center" wrapText="1"/>
    </xf>
    <xf fontId="19" fillId="3" borderId="49" numFmtId="0" xfId="0" applyFont="1" applyFill="1" applyBorder="1" applyAlignment="1">
      <alignment vertical="center"/>
    </xf>
    <xf fontId="6" fillId="3" borderId="1" numFmtId="167" xfId="0" applyNumberFormat="1" applyFont="1" applyFill="1" applyBorder="1" applyAlignment="1">
      <alignment horizontal="left" vertical="center"/>
    </xf>
    <xf fontId="13" fillId="3" borderId="0" numFmtId="168" xfId="0" applyNumberFormat="1" applyFont="1" applyFill="1" applyAlignment="1">
      <alignment horizontal="left" vertical="center"/>
    </xf>
    <xf fontId="5" fillId="3" borderId="0" numFmtId="0" xfId="0" applyFont="1" applyFill="1" applyAlignment="1">
      <alignment horizontal="left" vertical="center"/>
    </xf>
    <xf fontId="6" fillId="3" borderId="0" numFmtId="162" xfId="0" applyNumberFormat="1" applyFont="1" applyFill="1" applyAlignment="1">
      <alignment horizontal="left" vertical="center"/>
    </xf>
    <xf fontId="5" fillId="3" borderId="0" numFmtId="162" xfId="0" applyNumberFormat="1" applyFont="1" applyFill="1" applyAlignment="1">
      <alignment horizontal="left" vertical="center"/>
    </xf>
    <xf fontId="5" fillId="3" borderId="0" numFmtId="163" xfId="0" applyNumberFormat="1" applyFont="1" applyFill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0.8515625"/>
    <col customWidth="1" min="4" max="4" style="5" width="74.140625"/>
    <col customWidth="1" min="5" max="5" style="6" width="16.8515625"/>
    <col customWidth="1" min="6" max="6" style="5" width="16.140625"/>
    <col customWidth="1" min="7" max="7" style="7" width="15.8515625"/>
    <col customWidth="1" min="8" max="8" style="6" width="14.8515625"/>
    <col customWidth="1" min="9" max="9" style="8" width="16.28125"/>
    <col customWidth="1" min="10" max="10" style="8" width="15.28515625"/>
    <col customWidth="1" min="11" max="11" style="8" width="14.421875"/>
    <col customWidth="1" min="12" max="12" style="8" width="15.7109375"/>
    <col customWidth="1" min="13" max="13" style="5" width="17.140625"/>
    <col customWidth="1" min="14" max="14" style="5" width="14.7109375"/>
    <col customWidth="1" min="15" max="15" style="5" width="12.00390625"/>
    <col customWidth="1" min="16" max="16" style="5" width="13.140625"/>
    <col customWidth="1" min="17" max="17" style="5" width="12.57421875"/>
    <col customWidth="1" min="18" max="18" style="5" width="11.7109375"/>
    <col customWidth="1" min="19" max="21" style="5" width="9.140625"/>
    <col customWidth="1" min="22" max="23" style="1" width="9.140625"/>
    <col min="24" max="16384" style="1" width="9.140625"/>
  </cols>
  <sheetData>
    <row r="1" ht="23.25" customHeight="1">
      <c r="A1" s="9" t="s">
        <v>0</v>
      </c>
      <c r="B1" s="9"/>
      <c r="C1" s="10"/>
      <c r="D1" s="9"/>
      <c r="E1" s="11"/>
      <c r="F1" s="9"/>
      <c r="G1" s="11"/>
      <c r="H1" s="11"/>
      <c r="I1" s="9"/>
      <c r="J1" s="9"/>
      <c r="K1" s="9"/>
      <c r="L1" s="9"/>
      <c r="M1" s="9"/>
      <c r="N1" s="9"/>
      <c r="O1" s="9"/>
      <c r="P1" s="9"/>
      <c r="Q1" s="9"/>
      <c r="R1" s="9"/>
      <c r="S1" s="5"/>
      <c r="T1" s="5"/>
      <c r="U1" s="5"/>
      <c r="V1" s="1"/>
      <c r="W1" s="1"/>
      <c r="X1" s="1"/>
      <c r="Y1" s="1"/>
      <c r="Z1" s="1"/>
    </row>
    <row r="2" ht="11.25" customHeight="1">
      <c r="A2" s="12"/>
      <c r="B2" s="13"/>
      <c r="C2" s="4"/>
      <c r="D2" s="14"/>
      <c r="E2" s="15"/>
      <c r="F2" s="14"/>
      <c r="G2" s="16"/>
      <c r="H2" s="17"/>
      <c r="I2" s="18"/>
      <c r="J2" s="18"/>
      <c r="K2" s="18"/>
      <c r="L2" s="18"/>
      <c r="M2" s="14"/>
      <c r="N2" s="14"/>
      <c r="O2" s="14"/>
      <c r="P2" s="19"/>
      <c r="Q2" s="19"/>
      <c r="R2" s="20" t="s">
        <v>1</v>
      </c>
      <c r="S2" s="5"/>
      <c r="T2" s="5"/>
      <c r="U2" s="5"/>
      <c r="V2" s="1"/>
      <c r="W2" s="1"/>
      <c r="X2" s="1"/>
      <c r="Y2" s="1"/>
      <c r="Z2" s="1"/>
    </row>
    <row r="3" s="21" customFormat="1" ht="18.75" customHeight="1">
      <c r="A3" s="22" t="s">
        <v>2</v>
      </c>
      <c r="B3" s="23" t="s">
        <v>3</v>
      </c>
      <c r="C3" s="24" t="s">
        <v>4</v>
      </c>
      <c r="D3" s="25" t="s">
        <v>5</v>
      </c>
      <c r="E3" s="26" t="s">
        <v>6</v>
      </c>
      <c r="F3" s="27" t="s">
        <v>7</v>
      </c>
      <c r="G3" s="28"/>
      <c r="H3" s="29"/>
      <c r="I3" s="30" t="s">
        <v>8</v>
      </c>
      <c r="J3" s="31"/>
      <c r="K3" s="27" t="s">
        <v>9</v>
      </c>
      <c r="L3" s="32"/>
      <c r="M3" s="32"/>
      <c r="N3" s="33"/>
      <c r="O3" s="25" t="s">
        <v>10</v>
      </c>
      <c r="P3" s="34" t="s">
        <v>11</v>
      </c>
      <c r="Q3" s="34" t="s">
        <v>12</v>
      </c>
      <c r="R3" s="25" t="s">
        <v>13</v>
      </c>
      <c r="S3" s="35"/>
      <c r="T3" s="35"/>
      <c r="U3" s="35"/>
      <c r="V3" s="21"/>
      <c r="W3" s="21"/>
      <c r="X3" s="21"/>
      <c r="Y3" s="21"/>
      <c r="Z3" s="21"/>
    </row>
    <row r="4" s="21" customFormat="1" ht="62.25" customHeight="1">
      <c r="A4" s="22"/>
      <c r="B4" s="23"/>
      <c r="C4" s="24"/>
      <c r="D4" s="25"/>
      <c r="E4" s="26"/>
      <c r="F4" s="36" t="s">
        <v>14</v>
      </c>
      <c r="G4" s="36" t="s">
        <v>15</v>
      </c>
      <c r="H4" s="37" t="s">
        <v>16</v>
      </c>
      <c r="I4" s="38" t="s">
        <v>17</v>
      </c>
      <c r="J4" s="38" t="s">
        <v>16</v>
      </c>
      <c r="K4" s="39" t="s">
        <v>18</v>
      </c>
      <c r="L4" s="40" t="s">
        <v>19</v>
      </c>
      <c r="M4" s="39" t="s">
        <v>20</v>
      </c>
      <c r="N4" s="40" t="s">
        <v>21</v>
      </c>
      <c r="O4" s="25"/>
      <c r="P4" s="34"/>
      <c r="Q4" s="34"/>
      <c r="R4" s="25"/>
      <c r="S4" s="35"/>
      <c r="T4" s="35"/>
      <c r="U4" s="35"/>
      <c r="V4" s="21"/>
      <c r="W4" s="21"/>
      <c r="X4" s="21"/>
      <c r="Y4" s="21"/>
      <c r="Z4" s="21"/>
    </row>
    <row r="5" s="41" customFormat="1" ht="23.25" customHeight="1">
      <c r="A5" s="42"/>
      <c r="B5" s="43" t="s">
        <v>22</v>
      </c>
      <c r="C5" s="44"/>
      <c r="D5" s="45"/>
      <c r="E5" s="46">
        <f>SUM(E6:E16)</f>
        <v>13867384.389999999</v>
      </c>
      <c r="F5" s="46">
        <f>SUM(F6:F16)</f>
        <v>28873554.000000004</v>
      </c>
      <c r="G5" s="46">
        <f>SUM(G6:G16)</f>
        <v>16688787.1</v>
      </c>
      <c r="H5" s="46">
        <f>SUM(H6:H16)</f>
        <v>2050440.7</v>
      </c>
      <c r="I5" s="46">
        <f>SUM(I6:I16)</f>
        <v>14870394.950000003</v>
      </c>
      <c r="J5" s="46">
        <f>SUM(J6:J16)</f>
        <v>515225.06999999995</v>
      </c>
      <c r="K5" s="46">
        <f>SUM(K6:K16)</f>
        <v>1003010.5600000018</v>
      </c>
      <c r="L5" s="46">
        <f>SUM(L6:L16)</f>
        <v>-1818392.149999999</v>
      </c>
      <c r="M5" s="46">
        <f>SUM(M6:M16)</f>
        <v>-14003159.049999997</v>
      </c>
      <c r="N5" s="46">
        <f>SUM(N6:N16)</f>
        <v>-1535215.6299999997</v>
      </c>
      <c r="O5" s="47">
        <f t="shared" ref="O5:O9" si="0">IFERROR(I5/E5,"")</f>
        <v>1.0723287486516413</v>
      </c>
      <c r="P5" s="48">
        <f t="shared" ref="P5:P9" si="1">IFERROR(J5/H5,"")</f>
        <v>0.25127528438154784</v>
      </c>
      <c r="Q5" s="49">
        <f t="shared" ref="Q5:Q9" si="2">IFERROR(I5/G5,"")</f>
        <v>0.89104108410610638</v>
      </c>
      <c r="R5" s="50">
        <f t="shared" ref="R5:R9" si="3">IFERROR(I5/F5,"")</f>
        <v>0.51501782392288808</v>
      </c>
      <c r="S5" s="51"/>
      <c r="T5" s="51"/>
      <c r="U5" s="51"/>
      <c r="V5" s="41"/>
      <c r="W5" s="41"/>
      <c r="X5" s="41"/>
      <c r="Y5" s="41"/>
      <c r="Z5" s="41"/>
    </row>
    <row r="6" ht="18.75" customHeight="1">
      <c r="A6" s="52"/>
      <c r="B6" s="53" t="s">
        <v>23</v>
      </c>
      <c r="C6" s="54" t="s">
        <v>24</v>
      </c>
      <c r="D6" s="55" t="s">
        <v>25</v>
      </c>
      <c r="E6" s="56">
        <v>10401538.689999999</v>
      </c>
      <c r="F6" s="57">
        <f>22841274.9-1013674.9</f>
        <v>21827600</v>
      </c>
      <c r="G6" s="58">
        <v>13091990.5</v>
      </c>
      <c r="H6" s="59">
        <v>1822431.7</v>
      </c>
      <c r="I6" s="59">
        <v>11477109.780000001</v>
      </c>
      <c r="J6" s="59">
        <v>474082.81</v>
      </c>
      <c r="K6" s="60">
        <f t="shared" ref="K6:K9" si="4">I6-E6</f>
        <v>1075571.0900000017</v>
      </c>
      <c r="L6" s="61">
        <f t="shared" ref="L6:L9" si="5">I6-G6</f>
        <v>-1614880.7199999988</v>
      </c>
      <c r="M6" s="59">
        <f t="shared" ref="M6:M9" si="6">I6-F6</f>
        <v>-10350490.219999999</v>
      </c>
      <c r="N6" s="59">
        <f t="shared" ref="N6:N9" si="7">J6-H6</f>
        <v>-1348348.8899999999</v>
      </c>
      <c r="O6" s="62">
        <f t="shared" si="0"/>
        <v>1.1034049982464664</v>
      </c>
      <c r="P6" s="63">
        <f t="shared" si="1"/>
        <v>0.26013749102366912</v>
      </c>
      <c r="Q6" s="62">
        <f t="shared" si="2"/>
        <v>0.87665124566046704</v>
      </c>
      <c r="R6" s="64">
        <f t="shared" si="3"/>
        <v>0.52580722479796227</v>
      </c>
      <c r="S6" s="5"/>
      <c r="T6" s="5"/>
      <c r="U6" s="5"/>
      <c r="V6" s="1"/>
      <c r="W6" s="1"/>
      <c r="X6" s="1"/>
      <c r="Y6" s="1"/>
      <c r="Z6" s="1"/>
    </row>
    <row r="7" ht="18.75" customHeight="1">
      <c r="A7" s="65"/>
      <c r="B7" s="66" t="s">
        <v>26</v>
      </c>
      <c r="C7" s="67" t="s">
        <v>27</v>
      </c>
      <c r="D7" s="68" t="s">
        <v>28</v>
      </c>
      <c r="E7" s="69">
        <v>48425.019999999997</v>
      </c>
      <c r="F7" s="70">
        <v>58676</v>
      </c>
      <c r="G7" s="70">
        <v>38915</v>
      </c>
      <c r="H7" s="69">
        <v>4914.5</v>
      </c>
      <c r="I7" s="71">
        <v>35350.68</v>
      </c>
      <c r="J7" s="69">
        <v>3.27</v>
      </c>
      <c r="K7" s="72">
        <f t="shared" si="4"/>
        <v>-13074.339999999997</v>
      </c>
      <c r="L7" s="69">
        <f t="shared" si="5"/>
        <v>-3564.3199999999997</v>
      </c>
      <c r="M7" s="73">
        <f t="shared" si="6"/>
        <v>-23325.32</v>
      </c>
      <c r="N7" s="69">
        <f t="shared" si="7"/>
        <v>-4911.2299999999996</v>
      </c>
      <c r="O7" s="74">
        <f t="shared" si="0"/>
        <v>0.73000857821018972</v>
      </c>
      <c r="P7" s="75">
        <f t="shared" si="1"/>
        <v>0.00066537796317021056</v>
      </c>
      <c r="Q7" s="76">
        <f t="shared" si="2"/>
        <v>0.90840755492740588</v>
      </c>
      <c r="R7" s="77">
        <f t="shared" si="3"/>
        <v>0.60247256118344805</v>
      </c>
      <c r="S7" s="5"/>
      <c r="T7" s="5"/>
      <c r="U7" s="5"/>
      <c r="V7" s="1"/>
      <c r="W7" s="1"/>
      <c r="X7" s="1"/>
      <c r="Y7" s="1"/>
      <c r="Z7" s="1"/>
    </row>
    <row r="8" ht="18.75" customHeight="1">
      <c r="A8" s="65"/>
      <c r="B8" s="66" t="s">
        <v>23</v>
      </c>
      <c r="C8" s="78" t="s">
        <v>29</v>
      </c>
      <c r="D8" s="68" t="s">
        <v>30</v>
      </c>
      <c r="E8" s="69">
        <v>18462.84</v>
      </c>
      <c r="F8" s="70">
        <v>38381</v>
      </c>
      <c r="G8" s="70">
        <v>27200</v>
      </c>
      <c r="H8" s="69">
        <v>700</v>
      </c>
      <c r="I8" s="72">
        <v>28576.18</v>
      </c>
      <c r="J8" s="69">
        <v>420.49000000000001</v>
      </c>
      <c r="K8" s="69">
        <f t="shared" si="4"/>
        <v>10113.34</v>
      </c>
      <c r="L8" s="69">
        <f t="shared" si="5"/>
        <v>1376.1800000000003</v>
      </c>
      <c r="M8" s="69">
        <f t="shared" si="6"/>
        <v>-9804.8199999999997</v>
      </c>
      <c r="N8" s="72">
        <f t="shared" si="7"/>
        <v>-279.50999999999999</v>
      </c>
      <c r="O8" s="75">
        <f t="shared" si="0"/>
        <v>1.5477672990720821</v>
      </c>
      <c r="P8" s="74">
        <f t="shared" si="1"/>
        <v>0.60070000000000001</v>
      </c>
      <c r="Q8" s="75">
        <f t="shared" si="2"/>
        <v>1.0505948529411764</v>
      </c>
      <c r="R8" s="77">
        <f t="shared" si="3"/>
        <v>0.74453974622860275</v>
      </c>
      <c r="S8" s="5"/>
      <c r="T8" s="5"/>
      <c r="U8" s="5"/>
      <c r="V8" s="1"/>
      <c r="W8" s="1"/>
      <c r="X8" s="1"/>
      <c r="Y8" s="1"/>
      <c r="Z8" s="1"/>
    </row>
    <row r="9" ht="18.75" customHeight="1">
      <c r="A9" s="65"/>
      <c r="B9" s="66" t="s">
        <v>23</v>
      </c>
      <c r="C9" s="67" t="s">
        <v>31</v>
      </c>
      <c r="D9" s="68" t="s">
        <v>32</v>
      </c>
      <c r="E9" s="69">
        <v>911965.91000000003</v>
      </c>
      <c r="F9" s="70">
        <v>1319195.1000000001</v>
      </c>
      <c r="G9" s="70">
        <v>991200</v>
      </c>
      <c r="H9" s="69">
        <v>33700</v>
      </c>
      <c r="I9" s="69">
        <v>929053.48999999999</v>
      </c>
      <c r="J9" s="69">
        <v>12337.200000000001</v>
      </c>
      <c r="K9" s="69">
        <f t="shared" si="4"/>
        <v>17087.579999999958</v>
      </c>
      <c r="L9" s="69">
        <f t="shared" si="5"/>
        <v>-62146.510000000009</v>
      </c>
      <c r="M9" s="73">
        <f t="shared" si="6"/>
        <v>-390141.6100000001</v>
      </c>
      <c r="N9" s="69">
        <f t="shared" si="7"/>
        <v>-21362.799999999999</v>
      </c>
      <c r="O9" s="74">
        <f t="shared" si="0"/>
        <v>1.0187370819595658</v>
      </c>
      <c r="P9" s="75">
        <f t="shared" si="1"/>
        <v>0.3660890207715134</v>
      </c>
      <c r="Q9" s="76">
        <f t="shared" si="2"/>
        <v>0.93730174535916055</v>
      </c>
      <c r="R9" s="77">
        <f t="shared" si="3"/>
        <v>0.70425783873818204</v>
      </c>
      <c r="S9" s="5"/>
      <c r="T9" s="5"/>
      <c r="U9" s="5"/>
      <c r="V9" s="1"/>
      <c r="W9" s="1"/>
      <c r="X9" s="1"/>
      <c r="Y9" s="1"/>
      <c r="Z9" s="1"/>
    </row>
    <row r="10" ht="18.75" customHeight="1">
      <c r="A10" s="65"/>
      <c r="B10" s="66" t="s">
        <v>23</v>
      </c>
      <c r="C10" s="78" t="s">
        <v>33</v>
      </c>
      <c r="D10" s="68" t="s">
        <v>34</v>
      </c>
      <c r="E10" s="69">
        <v>224.91999999999999</v>
      </c>
      <c r="F10" s="70">
        <v>0</v>
      </c>
      <c r="G10" s="70">
        <v>0</v>
      </c>
      <c r="H10" s="69">
        <v>0</v>
      </c>
      <c r="I10" s="72">
        <v>199.97</v>
      </c>
      <c r="J10" s="69">
        <v>3.7200000000000002</v>
      </c>
      <c r="K10" s="69">
        <f t="shared" ref="K10:K47" si="8">I10-E10</f>
        <v>-24.949999999999989</v>
      </c>
      <c r="L10" s="69">
        <f t="shared" ref="L10:L73" si="9">I10-G10</f>
        <v>199.97</v>
      </c>
      <c r="M10" s="69">
        <f t="shared" ref="M10:M47" si="10">I10-F10</f>
        <v>199.97</v>
      </c>
      <c r="N10" s="72">
        <f t="shared" ref="N10:N47" si="11">J10-H10</f>
        <v>3.7200000000000002</v>
      </c>
      <c r="O10" s="75">
        <f t="shared" ref="O10:O73" si="12">IFERROR(I10/E10,"")</f>
        <v>0.8890716699270852</v>
      </c>
      <c r="P10" s="74" t="str">
        <f t="shared" ref="P10:P73" si="13">IFERROR(J10/H10,"")</f>
        <v/>
      </c>
      <c r="Q10" s="75" t="str">
        <f t="shared" ref="Q10:Q73" si="14">IFERROR(I10/G10,"")</f>
        <v/>
      </c>
      <c r="R10" s="77" t="str">
        <f t="shared" ref="R10:R73" si="15">IFERROR(I10/F10,"")</f>
        <v/>
      </c>
      <c r="S10" s="5"/>
      <c r="T10" s="5"/>
      <c r="U10" s="5"/>
      <c r="V10" s="1"/>
      <c r="W10" s="1"/>
      <c r="X10" s="1"/>
      <c r="Y10" s="1"/>
      <c r="Z10" s="1"/>
    </row>
    <row r="11" ht="18.75" customHeight="1">
      <c r="A11" s="65"/>
      <c r="B11" s="66" t="s">
        <v>23</v>
      </c>
      <c r="C11" s="67" t="s">
        <v>35</v>
      </c>
      <c r="D11" s="68" t="s">
        <v>36</v>
      </c>
      <c r="E11" s="69">
        <v>1188.27</v>
      </c>
      <c r="F11" s="70">
        <v>1515.3</v>
      </c>
      <c r="G11" s="70">
        <v>1507</v>
      </c>
      <c r="H11" s="69">
        <v>76</v>
      </c>
      <c r="I11" s="69">
        <v>821.69000000000005</v>
      </c>
      <c r="J11" s="69">
        <v>186.36000000000001</v>
      </c>
      <c r="K11" s="69">
        <f t="shared" si="8"/>
        <v>-366.57999999999993</v>
      </c>
      <c r="L11" s="69">
        <f t="shared" si="9"/>
        <v>-685.30999999999995</v>
      </c>
      <c r="M11" s="73">
        <f t="shared" si="10"/>
        <v>-693.6099999999999</v>
      </c>
      <c r="N11" s="69">
        <f t="shared" si="11"/>
        <v>110.36000000000001</v>
      </c>
      <c r="O11" s="74">
        <f t="shared" si="12"/>
        <v>0.69150108981965386</v>
      </c>
      <c r="P11" s="75">
        <f t="shared" si="13"/>
        <v>2.452105263157895</v>
      </c>
      <c r="Q11" s="76">
        <f t="shared" si="14"/>
        <v>0.54524883875248842</v>
      </c>
      <c r="R11" s="77">
        <f t="shared" si="15"/>
        <v>0.54226225829868679</v>
      </c>
      <c r="S11" s="5"/>
      <c r="T11" s="5"/>
      <c r="U11" s="5"/>
      <c r="V11" s="1"/>
      <c r="W11" s="1"/>
      <c r="X11" s="1"/>
      <c r="Y11" s="1"/>
      <c r="Z11" s="1"/>
    </row>
    <row r="12" ht="18.75" customHeight="1">
      <c r="A12" s="65"/>
      <c r="B12" s="66" t="s">
        <v>23</v>
      </c>
      <c r="C12" s="78" t="s">
        <v>37</v>
      </c>
      <c r="D12" s="68" t="s">
        <v>38</v>
      </c>
      <c r="E12" s="69">
        <v>337579.28000000003</v>
      </c>
      <c r="F12" s="70">
        <v>446509.79999999999</v>
      </c>
      <c r="G12" s="70">
        <v>171215.60000000001</v>
      </c>
      <c r="H12" s="69">
        <v>1000</v>
      </c>
      <c r="I12" s="72">
        <v>164951.48999999999</v>
      </c>
      <c r="J12" s="69">
        <v>3012.04</v>
      </c>
      <c r="K12" s="69">
        <f t="shared" si="8"/>
        <v>-172627.79000000004</v>
      </c>
      <c r="L12" s="69">
        <f t="shared" si="9"/>
        <v>-6264.1100000000151</v>
      </c>
      <c r="M12" s="69">
        <f t="shared" si="10"/>
        <v>-281558.31</v>
      </c>
      <c r="N12" s="72">
        <f t="shared" si="11"/>
        <v>2012.04</v>
      </c>
      <c r="O12" s="75">
        <f t="shared" si="12"/>
        <v>0.48863037447085017</v>
      </c>
      <c r="P12" s="74">
        <f t="shared" si="13"/>
        <v>3.0120399999999998</v>
      </c>
      <c r="Q12" s="75">
        <f t="shared" si="14"/>
        <v>0.96341390620948086</v>
      </c>
      <c r="R12" s="77">
        <f t="shared" si="15"/>
        <v>0.36942412014249182</v>
      </c>
      <c r="S12" s="5"/>
      <c r="T12" s="5"/>
      <c r="U12" s="5"/>
      <c r="V12" s="1"/>
      <c r="W12" s="1"/>
      <c r="X12" s="1"/>
      <c r="Y12" s="1"/>
      <c r="Z12" s="1"/>
    </row>
    <row r="13" ht="18.75" customHeight="1">
      <c r="A13" s="65"/>
      <c r="B13" s="66" t="s">
        <v>39</v>
      </c>
      <c r="C13" s="67" t="s">
        <v>40</v>
      </c>
      <c r="D13" s="68" t="s">
        <v>41</v>
      </c>
      <c r="E13" s="69">
        <v>87923.979999999996</v>
      </c>
      <c r="F13" s="70">
        <v>1866643.8</v>
      </c>
      <c r="G13" s="70">
        <v>174000</v>
      </c>
      <c r="H13" s="69">
        <v>80000</v>
      </c>
      <c r="I13" s="69">
        <v>93888.709999999992</v>
      </c>
      <c r="J13" s="69">
        <v>1514.55</v>
      </c>
      <c r="K13" s="69">
        <f t="shared" si="8"/>
        <v>5964.7299999999959</v>
      </c>
      <c r="L13" s="69">
        <f t="shared" si="9"/>
        <v>-80111.290000000008</v>
      </c>
      <c r="M13" s="73">
        <f t="shared" si="10"/>
        <v>-1772755.0900000001</v>
      </c>
      <c r="N13" s="69">
        <f t="shared" si="11"/>
        <v>-78485.449999999997</v>
      </c>
      <c r="O13" s="74">
        <f t="shared" si="12"/>
        <v>1.0678396269140682</v>
      </c>
      <c r="P13" s="75">
        <f t="shared" si="13"/>
        <v>0.018931875000000001</v>
      </c>
      <c r="Q13" s="76">
        <f t="shared" si="14"/>
        <v>0.53959028735632175</v>
      </c>
      <c r="R13" s="77">
        <f t="shared" si="15"/>
        <v>0.050298139366492946</v>
      </c>
      <c r="S13" s="5"/>
      <c r="T13" s="5"/>
      <c r="U13" s="5"/>
      <c r="V13" s="1"/>
      <c r="W13" s="1"/>
      <c r="X13" s="1"/>
      <c r="Y13" s="1"/>
      <c r="Z13" s="1"/>
    </row>
    <row r="14" ht="18.75" customHeight="1">
      <c r="A14" s="65"/>
      <c r="B14" s="66" t="s">
        <v>39</v>
      </c>
      <c r="C14" s="78" t="s">
        <v>42</v>
      </c>
      <c r="D14" s="68" t="s">
        <v>43</v>
      </c>
      <c r="E14" s="69">
        <v>1670775.3</v>
      </c>
      <c r="F14" s="70">
        <v>2628818</v>
      </c>
      <c r="G14" s="70">
        <v>1751500</v>
      </c>
      <c r="H14" s="69">
        <v>47000</v>
      </c>
      <c r="I14" s="72">
        <v>1727323.9000000001</v>
      </c>
      <c r="J14" s="69">
        <v>10041.279999999999</v>
      </c>
      <c r="K14" s="69">
        <f t="shared" si="8"/>
        <v>56548.600000000093</v>
      </c>
      <c r="L14" s="69">
        <f t="shared" si="9"/>
        <v>-24176.09999999986</v>
      </c>
      <c r="M14" s="69">
        <f t="shared" si="10"/>
        <v>-901494.09999999986</v>
      </c>
      <c r="N14" s="72">
        <f t="shared" si="11"/>
        <v>-36958.720000000001</v>
      </c>
      <c r="O14" s="75">
        <f t="shared" si="12"/>
        <v>1.0338457241976227</v>
      </c>
      <c r="P14" s="74">
        <f t="shared" si="13"/>
        <v>0.21364425531914891</v>
      </c>
      <c r="Q14" s="75">
        <f t="shared" si="14"/>
        <v>0.98619691692834721</v>
      </c>
      <c r="R14" s="77">
        <f t="shared" si="15"/>
        <v>0.65707245613808185</v>
      </c>
      <c r="S14" s="5"/>
      <c r="T14" s="5"/>
      <c r="U14" s="5"/>
      <c r="V14" s="1"/>
      <c r="W14" s="1"/>
      <c r="X14" s="1"/>
      <c r="Y14" s="1"/>
      <c r="Z14" s="1"/>
    </row>
    <row r="15" ht="18.75" customHeight="1">
      <c r="A15" s="65"/>
      <c r="B15" s="66"/>
      <c r="C15" s="67" t="s">
        <v>44</v>
      </c>
      <c r="D15" s="68" t="s">
        <v>45</v>
      </c>
      <c r="E15" s="69">
        <v>389300.17999999999</v>
      </c>
      <c r="F15" s="70">
        <v>686215</v>
      </c>
      <c r="G15" s="70">
        <v>441259</v>
      </c>
      <c r="H15" s="69">
        <v>60618.5</v>
      </c>
      <c r="I15" s="69">
        <v>413119.06</v>
      </c>
      <c r="J15" s="69">
        <v>13623.35</v>
      </c>
      <c r="K15" s="69">
        <f t="shared" si="8"/>
        <v>23818.880000000005</v>
      </c>
      <c r="L15" s="69">
        <f t="shared" si="9"/>
        <v>-28139.940000000002</v>
      </c>
      <c r="M15" s="69">
        <f t="shared" si="10"/>
        <v>-273095.94</v>
      </c>
      <c r="N15" s="69">
        <f t="shared" si="11"/>
        <v>-46995.150000000001</v>
      </c>
      <c r="O15" s="75">
        <f t="shared" si="12"/>
        <v>1.0611838401924192</v>
      </c>
      <c r="P15" s="75">
        <f t="shared" si="13"/>
        <v>0.22473914729001873</v>
      </c>
      <c r="Q15" s="75">
        <f t="shared" si="14"/>
        <v>0.93622806560319449</v>
      </c>
      <c r="R15" s="77">
        <f t="shared" si="15"/>
        <v>0.60202569165640507</v>
      </c>
      <c r="S15" s="5"/>
      <c r="T15" s="5"/>
      <c r="U15" s="5"/>
      <c r="V15" s="1"/>
      <c r="W15" s="1"/>
      <c r="X15" s="1"/>
      <c r="Y15" s="1"/>
      <c r="Z15" s="1"/>
    </row>
    <row r="16" ht="17.25" hidden="1">
      <c r="A16" s="79"/>
      <c r="B16" s="80" t="s">
        <v>39</v>
      </c>
      <c r="C16" s="78" t="s">
        <v>46</v>
      </c>
      <c r="D16" s="81" t="s">
        <v>47</v>
      </c>
      <c r="E16" s="73">
        <v>0</v>
      </c>
      <c r="F16" s="82">
        <v>0</v>
      </c>
      <c r="G16" s="82">
        <v>0</v>
      </c>
      <c r="H16" s="83">
        <v>0</v>
      </c>
      <c r="I16" s="84">
        <v>0</v>
      </c>
      <c r="J16" s="84">
        <v>0</v>
      </c>
      <c r="K16" s="82">
        <f t="shared" si="8"/>
        <v>0</v>
      </c>
      <c r="L16" s="72">
        <f t="shared" si="9"/>
        <v>0</v>
      </c>
      <c r="M16" s="82">
        <f t="shared" si="10"/>
        <v>0</v>
      </c>
      <c r="N16" s="83">
        <f t="shared" si="11"/>
        <v>0</v>
      </c>
      <c r="O16" s="85" t="str">
        <f t="shared" si="12"/>
        <v/>
      </c>
      <c r="P16" s="74" t="str">
        <f t="shared" si="13"/>
        <v/>
      </c>
      <c r="Q16" s="85" t="str">
        <f t="shared" si="14"/>
        <v/>
      </c>
      <c r="R16" s="86" t="str">
        <f t="shared" si="15"/>
        <v/>
      </c>
      <c r="S16" s="5"/>
      <c r="T16" s="5"/>
      <c r="U16" s="5"/>
      <c r="V16" s="1"/>
      <c r="W16" s="1"/>
      <c r="X16" s="1"/>
      <c r="Y16" s="1"/>
      <c r="Z16" s="1"/>
    </row>
    <row r="17" s="41" customFormat="1" ht="24" customHeight="1">
      <c r="A17" s="87" t="s">
        <v>48</v>
      </c>
      <c r="B17" s="88"/>
      <c r="C17" s="89"/>
      <c r="D17" s="90"/>
      <c r="E17" s="46">
        <f>E21+E25+E34+E48+E56+E59+E62+E71</f>
        <v>4490192.1700000009</v>
      </c>
      <c r="F17" s="46">
        <f>F21+F25+F34+F48+F56+F59+F62+F71</f>
        <v>8186565.9399999976</v>
      </c>
      <c r="G17" s="46">
        <f>G21+G25+G34+G48+G56+G59+G62+G71</f>
        <v>5173922.4699999997</v>
      </c>
      <c r="H17" s="46">
        <f>H21+H25+H34+H48+H56+H59+H62+H71</f>
        <v>599076.31000000006</v>
      </c>
      <c r="I17" s="46">
        <f>I21+I25+I34+I48+I56+I59+I62+I71</f>
        <v>5139293.3700000001</v>
      </c>
      <c r="J17" s="46">
        <f>J21+J25+J34+J48+J56+J59+J62+J71</f>
        <v>191019.53</v>
      </c>
      <c r="K17" s="46">
        <f t="shared" si="8"/>
        <v>649101.19999999925</v>
      </c>
      <c r="L17" s="91">
        <f t="shared" si="9"/>
        <v>-34629.099999999627</v>
      </c>
      <c r="M17" s="92">
        <f t="shared" si="10"/>
        <v>-3047272.5699999975</v>
      </c>
      <c r="N17" s="46">
        <f t="shared" si="11"/>
        <v>-408056.78000000003</v>
      </c>
      <c r="O17" s="47">
        <f t="shared" si="12"/>
        <v>1.144559781725333</v>
      </c>
      <c r="P17" s="48">
        <f t="shared" si="13"/>
        <v>0.3188567579979919</v>
      </c>
      <c r="Q17" s="49">
        <f t="shared" si="14"/>
        <v>0.99330699286647806</v>
      </c>
      <c r="R17" s="50">
        <f t="shared" si="15"/>
        <v>0.62777157206895984</v>
      </c>
      <c r="S17" s="51"/>
      <c r="T17" s="51"/>
      <c r="U17" s="51"/>
      <c r="V17" s="41"/>
      <c r="W17" s="41"/>
      <c r="X17" s="41"/>
      <c r="Y17" s="41"/>
      <c r="Z17" s="41"/>
    </row>
    <row r="18" ht="17.25">
      <c r="A18" s="93" t="s">
        <v>49</v>
      </c>
      <c r="B18" s="94" t="s">
        <v>26</v>
      </c>
      <c r="C18" s="95" t="s">
        <v>50</v>
      </c>
      <c r="D18" s="96" t="s">
        <v>51</v>
      </c>
      <c r="E18" s="97">
        <v>166862.35000000001</v>
      </c>
      <c r="F18" s="60">
        <f>295538.8+75672.2</f>
        <v>371211</v>
      </c>
      <c r="G18" s="60">
        <v>239211</v>
      </c>
      <c r="H18" s="60">
        <v>33000</v>
      </c>
      <c r="I18" s="98">
        <v>226687.26999999999</v>
      </c>
      <c r="J18" s="60">
        <v>7574.9899999999998</v>
      </c>
      <c r="K18" s="61">
        <f t="shared" si="8"/>
        <v>59824.919999999984</v>
      </c>
      <c r="L18" s="60">
        <f t="shared" si="9"/>
        <v>-12523.73000000001</v>
      </c>
      <c r="M18" s="60">
        <f t="shared" si="10"/>
        <v>-144523.73000000001</v>
      </c>
      <c r="N18" s="98">
        <f t="shared" si="11"/>
        <v>-25425.010000000002</v>
      </c>
      <c r="O18" s="62">
        <f t="shared" si="12"/>
        <v>1.3585285716040796</v>
      </c>
      <c r="P18" s="63">
        <f t="shared" si="13"/>
        <v>0.22954515151515151</v>
      </c>
      <c r="Q18" s="62">
        <f t="shared" si="14"/>
        <v>0.94764567682924272</v>
      </c>
      <c r="R18" s="64">
        <f t="shared" si="15"/>
        <v>0.61066959222652339</v>
      </c>
      <c r="S18" s="5"/>
      <c r="T18" s="5"/>
      <c r="U18" s="5"/>
      <c r="V18" s="1"/>
      <c r="W18" s="1"/>
      <c r="X18" s="1"/>
      <c r="Y18" s="1"/>
      <c r="Z18" s="1"/>
    </row>
    <row r="19" ht="17.25">
      <c r="A19" s="99"/>
      <c r="B19" s="100"/>
      <c r="C19" s="67" t="s">
        <v>52</v>
      </c>
      <c r="D19" s="101" t="s">
        <v>53</v>
      </c>
      <c r="E19" s="102">
        <v>647</v>
      </c>
      <c r="F19" s="102">
        <v>0</v>
      </c>
      <c r="G19" s="102">
        <v>0</v>
      </c>
      <c r="H19" s="103">
        <v>0</v>
      </c>
      <c r="I19" s="102">
        <v>0</v>
      </c>
      <c r="J19" s="103">
        <v>0</v>
      </c>
      <c r="K19" s="102">
        <f t="shared" si="8"/>
        <v>-647</v>
      </c>
      <c r="L19" s="103">
        <f t="shared" si="9"/>
        <v>0</v>
      </c>
      <c r="M19" s="102">
        <f t="shared" si="10"/>
        <v>0</v>
      </c>
      <c r="N19" s="102">
        <f t="shared" si="11"/>
        <v>0</v>
      </c>
      <c r="O19" s="74">
        <f t="shared" si="12"/>
        <v>0</v>
      </c>
      <c r="P19" s="75" t="str">
        <f t="shared" si="13"/>
        <v/>
      </c>
      <c r="Q19" s="76" t="str">
        <f t="shared" si="14"/>
        <v/>
      </c>
      <c r="R19" s="77" t="str">
        <f t="shared" si="15"/>
        <v/>
      </c>
      <c r="S19" s="5"/>
      <c r="T19" s="5"/>
      <c r="U19" s="5"/>
      <c r="V19" s="1"/>
      <c r="W19" s="1"/>
      <c r="X19" s="1"/>
      <c r="Y19" s="1"/>
      <c r="Z19" s="1"/>
    </row>
    <row r="20" ht="17.25">
      <c r="A20" s="99"/>
      <c r="B20" s="100"/>
      <c r="C20" s="78" t="s">
        <v>54</v>
      </c>
      <c r="D20" s="104" t="s">
        <v>55</v>
      </c>
      <c r="E20" s="102">
        <v>144704.51000000001</v>
      </c>
      <c r="F20" s="102">
        <v>365019.5</v>
      </c>
      <c r="G20" s="102">
        <v>242819.5</v>
      </c>
      <c r="H20" s="105">
        <v>30600</v>
      </c>
      <c r="I20" s="102">
        <v>240780.22</v>
      </c>
      <c r="J20" s="105">
        <v>10602.18</v>
      </c>
      <c r="K20" s="102">
        <f t="shared" si="8"/>
        <v>96075.709999999992</v>
      </c>
      <c r="L20" s="102">
        <f t="shared" si="9"/>
        <v>-2039.2799999999988</v>
      </c>
      <c r="M20" s="102">
        <f t="shared" si="10"/>
        <v>-124239.28</v>
      </c>
      <c r="N20" s="102">
        <f t="shared" si="11"/>
        <v>-19997.82</v>
      </c>
      <c r="O20" s="75">
        <f t="shared" si="12"/>
        <v>1.6639441300067288</v>
      </c>
      <c r="P20" s="74">
        <f t="shared" si="13"/>
        <v>0.34647647058823533</v>
      </c>
      <c r="Q20" s="75">
        <f t="shared" si="14"/>
        <v>0.99160166296364172</v>
      </c>
      <c r="R20" s="77">
        <f t="shared" si="15"/>
        <v>0.65963659475726644</v>
      </c>
      <c r="S20" s="5"/>
      <c r="T20" s="5"/>
      <c r="U20" s="5"/>
      <c r="V20" s="1"/>
      <c r="W20" s="1"/>
      <c r="X20" s="1"/>
      <c r="Y20" s="1"/>
      <c r="Z20" s="1"/>
    </row>
    <row r="21" s="106" customFormat="1" ht="17.25">
      <c r="A21" s="107"/>
      <c r="B21" s="108"/>
      <c r="C21" s="109"/>
      <c r="D21" s="110" t="s">
        <v>56</v>
      </c>
      <c r="E21" s="111">
        <f>SUM(E18:E20)</f>
        <v>312213.85999999999</v>
      </c>
      <c r="F21" s="111">
        <f>SUM(F18:F20)</f>
        <v>736230.5</v>
      </c>
      <c r="G21" s="111">
        <f>SUM(G18:G20)</f>
        <v>482030.5</v>
      </c>
      <c r="H21" s="111">
        <f>SUM(H18:H20)</f>
        <v>63600</v>
      </c>
      <c r="I21" s="111">
        <f>SUM(I18:I20)</f>
        <v>467467.48999999999</v>
      </c>
      <c r="J21" s="111">
        <f>SUM(J18:J20)</f>
        <v>18177.169999999998</v>
      </c>
      <c r="K21" s="111">
        <f t="shared" si="8"/>
        <v>155253.63</v>
      </c>
      <c r="L21" s="111">
        <f t="shared" si="9"/>
        <v>-14563.010000000009</v>
      </c>
      <c r="M21" s="112">
        <f t="shared" si="10"/>
        <v>-268763.01000000001</v>
      </c>
      <c r="N21" s="112">
        <f t="shared" si="11"/>
        <v>-45422.830000000002</v>
      </c>
      <c r="O21" s="113">
        <f t="shared" si="12"/>
        <v>1.4972669374767669</v>
      </c>
      <c r="P21" s="113">
        <f t="shared" si="13"/>
        <v>0.28580455974842767</v>
      </c>
      <c r="Q21" s="113">
        <f t="shared" si="14"/>
        <v>0.96978819804970851</v>
      </c>
      <c r="R21" s="114">
        <f t="shared" si="15"/>
        <v>0.63494719384757903</v>
      </c>
      <c r="S21" s="115"/>
      <c r="T21" s="115"/>
      <c r="U21" s="115"/>
      <c r="V21" s="106"/>
      <c r="W21" s="106"/>
      <c r="X21" s="106"/>
      <c r="Y21" s="106"/>
      <c r="Z21" s="106"/>
    </row>
    <row r="22" ht="17.25">
      <c r="A22" s="116">
        <v>951</v>
      </c>
      <c r="B22" s="94" t="s">
        <v>23</v>
      </c>
      <c r="C22" s="117" t="s">
        <v>57</v>
      </c>
      <c r="D22" s="118" t="s">
        <v>58</v>
      </c>
      <c r="E22" s="97">
        <v>64920.519999999997</v>
      </c>
      <c r="F22" s="97">
        <v>119058.5</v>
      </c>
      <c r="G22" s="97">
        <v>69807.899999999994</v>
      </c>
      <c r="H22" s="60">
        <v>9562</v>
      </c>
      <c r="I22" s="98">
        <v>77260.009999999995</v>
      </c>
      <c r="J22" s="60">
        <v>8070.3699999999999</v>
      </c>
      <c r="K22" s="60">
        <f t="shared" si="8"/>
        <v>12339.489999999998</v>
      </c>
      <c r="L22" s="60">
        <f t="shared" si="9"/>
        <v>7452.1100000000006</v>
      </c>
      <c r="M22" s="60">
        <f t="shared" si="10"/>
        <v>-41798.490000000005</v>
      </c>
      <c r="N22" s="60">
        <f t="shared" si="11"/>
        <v>-1491.6300000000001</v>
      </c>
      <c r="O22" s="63">
        <f t="shared" si="12"/>
        <v>1.1900707203207861</v>
      </c>
      <c r="P22" s="62">
        <f t="shared" si="13"/>
        <v>0.84400439238653002</v>
      </c>
      <c r="Q22" s="119">
        <f t="shared" si="14"/>
        <v>1.1067516713724379</v>
      </c>
      <c r="R22" s="64">
        <f t="shared" si="15"/>
        <v>0.64892477227581391</v>
      </c>
      <c r="S22" s="5"/>
      <c r="T22" s="5"/>
      <c r="U22" s="5"/>
      <c r="V22" s="1"/>
      <c r="W22" s="1"/>
      <c r="X22" s="1"/>
      <c r="Y22" s="1"/>
      <c r="Z22" s="1"/>
    </row>
    <row r="23" ht="17.25">
      <c r="A23" s="120"/>
      <c r="B23" s="100"/>
      <c r="C23" s="121" t="s">
        <v>59</v>
      </c>
      <c r="D23" s="101" t="s">
        <v>60</v>
      </c>
      <c r="E23" s="102">
        <v>10552.82</v>
      </c>
      <c r="F23" s="122">
        <v>10589.6</v>
      </c>
      <c r="G23" s="122">
        <v>6388.5</v>
      </c>
      <c r="H23" s="102">
        <v>251.69999999999999</v>
      </c>
      <c r="I23" s="103">
        <v>9439.6100000000006</v>
      </c>
      <c r="J23" s="102">
        <v>274.22000000000003</v>
      </c>
      <c r="K23" s="102">
        <f t="shared" si="8"/>
        <v>-1113.2099999999991</v>
      </c>
      <c r="L23" s="102">
        <f t="shared" si="9"/>
        <v>3051.1100000000006</v>
      </c>
      <c r="M23" s="102">
        <f t="shared" si="10"/>
        <v>-1149.9899999999998</v>
      </c>
      <c r="N23" s="103">
        <f t="shared" si="11"/>
        <v>22.520000000000039</v>
      </c>
      <c r="O23" s="75">
        <f t="shared" si="12"/>
        <v>0.89451066160514447</v>
      </c>
      <c r="P23" s="75">
        <f t="shared" si="13"/>
        <v>1.0894715931664682</v>
      </c>
      <c r="Q23" s="75">
        <f t="shared" si="14"/>
        <v>1.4775941144243563</v>
      </c>
      <c r="R23" s="77">
        <f t="shared" si="15"/>
        <v>0.89140383017299996</v>
      </c>
      <c r="S23" s="5"/>
      <c r="T23" s="5"/>
      <c r="U23" s="5"/>
      <c r="V23" s="1"/>
      <c r="W23" s="1"/>
      <c r="X23" s="1"/>
      <c r="Y23" s="1"/>
      <c r="Z23" s="1"/>
    </row>
    <row r="24" ht="17.25">
      <c r="A24" s="123"/>
      <c r="B24" s="124"/>
      <c r="C24" s="125" t="s">
        <v>61</v>
      </c>
      <c r="D24" s="126" t="s">
        <v>62</v>
      </c>
      <c r="E24" s="102">
        <v>1720.49</v>
      </c>
      <c r="F24" s="122">
        <v>2512.1999999999998</v>
      </c>
      <c r="G24" s="122">
        <v>1570</v>
      </c>
      <c r="H24" s="122">
        <v>150</v>
      </c>
      <c r="I24" s="122">
        <v>1477.79</v>
      </c>
      <c r="J24" s="122">
        <v>102.64</v>
      </c>
      <c r="K24" s="102">
        <f t="shared" si="8"/>
        <v>-242.70000000000005</v>
      </c>
      <c r="L24" s="102">
        <f t="shared" si="9"/>
        <v>-92.210000000000036</v>
      </c>
      <c r="M24" s="102">
        <f t="shared" si="10"/>
        <v>-1034.4099999999999</v>
      </c>
      <c r="N24" s="122">
        <f t="shared" si="11"/>
        <v>-47.359999999999999</v>
      </c>
      <c r="O24" s="75">
        <f t="shared" si="12"/>
        <v>0.85893553580665971</v>
      </c>
      <c r="P24" s="74">
        <f t="shared" si="13"/>
        <v>0.68426666666666669</v>
      </c>
      <c r="Q24" s="75">
        <f t="shared" si="14"/>
        <v>0.94126751592356683</v>
      </c>
      <c r="R24" s="77">
        <f t="shared" si="15"/>
        <v>0.58824536263036387</v>
      </c>
      <c r="S24" s="5"/>
      <c r="T24" s="5"/>
      <c r="U24" s="5"/>
      <c r="V24" s="1"/>
      <c r="W24" s="1"/>
      <c r="X24" s="1"/>
      <c r="Y24" s="1"/>
      <c r="Z24" s="1"/>
    </row>
    <row r="25" s="106" customFormat="1" ht="17.25">
      <c r="A25" s="127"/>
      <c r="B25" s="108"/>
      <c r="C25" s="128"/>
      <c r="D25" s="129" t="s">
        <v>56</v>
      </c>
      <c r="E25" s="111">
        <f>E22+E23+E24</f>
        <v>77193.830000000002</v>
      </c>
      <c r="F25" s="111">
        <f>F22+F23+F24</f>
        <v>132160.30000000002</v>
      </c>
      <c r="G25" s="111">
        <f>G22+G23+G24</f>
        <v>77766.399999999994</v>
      </c>
      <c r="H25" s="111">
        <f>H22+H23+H24</f>
        <v>9963.7000000000007</v>
      </c>
      <c r="I25" s="111">
        <f>I22+I23+I24</f>
        <v>88177.409999999989</v>
      </c>
      <c r="J25" s="111">
        <f>J22+J23+J24</f>
        <v>8447.2299999999996</v>
      </c>
      <c r="K25" s="111">
        <f t="shared" si="8"/>
        <v>10983.579999999987</v>
      </c>
      <c r="L25" s="111">
        <f t="shared" si="9"/>
        <v>10411.009999999995</v>
      </c>
      <c r="M25" s="130">
        <f t="shared" si="10"/>
        <v>-43982.890000000029</v>
      </c>
      <c r="N25" s="111">
        <f t="shared" si="11"/>
        <v>-1516.4700000000012</v>
      </c>
      <c r="O25" s="131">
        <f t="shared" si="12"/>
        <v>1.1422857241310607</v>
      </c>
      <c r="P25" s="113">
        <f t="shared" si="13"/>
        <v>0.84780051587261751</v>
      </c>
      <c r="Q25" s="132">
        <f t="shared" si="14"/>
        <v>1.133875426919595</v>
      </c>
      <c r="R25" s="114">
        <f t="shared" si="15"/>
        <v>0.6672004376503381</v>
      </c>
      <c r="S25" s="115"/>
      <c r="T25" s="115"/>
      <c r="U25" s="115"/>
      <c r="V25" s="106"/>
      <c r="W25" s="106"/>
      <c r="X25" s="106"/>
      <c r="Y25" s="106"/>
      <c r="Z25" s="106"/>
    </row>
    <row r="26" ht="17.25">
      <c r="A26" s="93" t="s">
        <v>63</v>
      </c>
      <c r="B26" s="94" t="s">
        <v>64</v>
      </c>
      <c r="C26" s="133" t="s">
        <v>65</v>
      </c>
      <c r="D26" s="134" t="s">
        <v>66</v>
      </c>
      <c r="E26" s="60">
        <v>0</v>
      </c>
      <c r="F26" s="60">
        <v>66</v>
      </c>
      <c r="G26" s="60">
        <v>66</v>
      </c>
      <c r="H26" s="60">
        <v>66</v>
      </c>
      <c r="I26" s="60">
        <v>24.66</v>
      </c>
      <c r="J26" s="60">
        <v>0</v>
      </c>
      <c r="K26" s="60">
        <f t="shared" si="8"/>
        <v>24.66</v>
      </c>
      <c r="L26" s="61">
        <f t="shared" si="9"/>
        <v>-41.340000000000003</v>
      </c>
      <c r="M26" s="60">
        <f t="shared" si="10"/>
        <v>-41.340000000000003</v>
      </c>
      <c r="N26" s="60">
        <f t="shared" si="11"/>
        <v>-66</v>
      </c>
      <c r="O26" s="62" t="str">
        <f t="shared" si="12"/>
        <v/>
      </c>
      <c r="P26" s="63">
        <f t="shared" si="13"/>
        <v>0</v>
      </c>
      <c r="Q26" s="62">
        <f t="shared" si="14"/>
        <v>0.37363636363636366</v>
      </c>
      <c r="R26" s="64">
        <f t="shared" si="15"/>
        <v>0.37363636363636366</v>
      </c>
      <c r="S26" s="5"/>
      <c r="T26" s="5"/>
      <c r="U26" s="5"/>
      <c r="V26" s="1"/>
      <c r="W26" s="1"/>
      <c r="X26" s="1"/>
      <c r="Y26" s="1"/>
      <c r="Z26" s="1"/>
    </row>
    <row r="27" ht="17.25">
      <c r="A27" s="93"/>
      <c r="B27" s="100"/>
      <c r="C27" s="78" t="s">
        <v>67</v>
      </c>
      <c r="D27" s="135" t="s">
        <v>68</v>
      </c>
      <c r="E27" s="102">
        <v>48137.949999999997</v>
      </c>
      <c r="F27" s="122">
        <v>85184</v>
      </c>
      <c r="G27" s="122">
        <v>50700</v>
      </c>
      <c r="H27" s="102">
        <v>6800</v>
      </c>
      <c r="I27" s="105">
        <v>45471.780000000006</v>
      </c>
      <c r="J27" s="102">
        <v>1632.3099999999999</v>
      </c>
      <c r="K27" s="102">
        <f t="shared" si="8"/>
        <v>-2666.169999999991</v>
      </c>
      <c r="L27" s="102">
        <f t="shared" si="9"/>
        <v>-5228.2199999999939</v>
      </c>
      <c r="M27" s="103">
        <f t="shared" si="10"/>
        <v>-39712.219999999994</v>
      </c>
      <c r="N27" s="102">
        <f t="shared" si="11"/>
        <v>-5167.6900000000005</v>
      </c>
      <c r="O27" s="74">
        <f t="shared" si="12"/>
        <v>0.94461396881254833</v>
      </c>
      <c r="P27" s="75">
        <f t="shared" si="13"/>
        <v>0.24004558823529412</v>
      </c>
      <c r="Q27" s="76">
        <f t="shared" si="14"/>
        <v>0.89687928994082855</v>
      </c>
      <c r="R27" s="77">
        <f t="shared" si="15"/>
        <v>0.533806583395943</v>
      </c>
      <c r="S27" s="5"/>
      <c r="T27" s="5"/>
      <c r="U27" s="5"/>
      <c r="V27" s="1"/>
      <c r="W27" s="1"/>
      <c r="X27" s="1"/>
      <c r="Y27" s="1"/>
      <c r="Z27" s="1"/>
    </row>
    <row r="28" ht="17.25">
      <c r="A28" s="93"/>
      <c r="B28" s="100"/>
      <c r="C28" s="121" t="s">
        <v>69</v>
      </c>
      <c r="D28" s="136" t="s">
        <v>70</v>
      </c>
      <c r="E28" s="102">
        <v>819.95000000000005</v>
      </c>
      <c r="F28" s="122">
        <v>557</v>
      </c>
      <c r="G28" s="122">
        <v>371.30000000000001</v>
      </c>
      <c r="H28" s="103">
        <v>46.399999999999999</v>
      </c>
      <c r="I28" s="102">
        <v>364.79000000000002</v>
      </c>
      <c r="J28" s="103">
        <v>4.3600000000000003</v>
      </c>
      <c r="K28" s="102">
        <f t="shared" si="8"/>
        <v>-455.16000000000003</v>
      </c>
      <c r="L28" s="103">
        <f t="shared" si="9"/>
        <v>-6.5099999999999909</v>
      </c>
      <c r="M28" s="102">
        <f t="shared" si="10"/>
        <v>-192.20999999999998</v>
      </c>
      <c r="N28" s="102">
        <f t="shared" si="11"/>
        <v>-42.039999999999999</v>
      </c>
      <c r="O28" s="75">
        <f t="shared" si="12"/>
        <v>0.44489298127934629</v>
      </c>
      <c r="P28" s="74">
        <f t="shared" si="13"/>
        <v>0.093965517241379318</v>
      </c>
      <c r="Q28" s="75">
        <f t="shared" si="14"/>
        <v>0.98246700781039598</v>
      </c>
      <c r="R28" s="77">
        <f t="shared" si="15"/>
        <v>0.65491921005386</v>
      </c>
      <c r="S28" s="5"/>
      <c r="T28" s="5"/>
      <c r="U28" s="5"/>
      <c r="V28" s="1"/>
      <c r="W28" s="1"/>
      <c r="X28" s="1"/>
      <c r="Y28" s="1"/>
      <c r="Z28" s="1"/>
    </row>
    <row r="29" ht="17.25">
      <c r="A29" s="93"/>
      <c r="B29" s="100"/>
      <c r="C29" s="4" t="s">
        <v>71</v>
      </c>
      <c r="D29" s="136" t="s">
        <v>72</v>
      </c>
      <c r="E29" s="102">
        <v>0</v>
      </c>
      <c r="F29" s="102">
        <v>11082.299999999999</v>
      </c>
      <c r="G29" s="102">
        <v>0</v>
      </c>
      <c r="H29" s="105">
        <v>0</v>
      </c>
      <c r="I29" s="102">
        <v>0</v>
      </c>
      <c r="J29" s="105">
        <v>0</v>
      </c>
      <c r="K29" s="102">
        <f t="shared" si="8"/>
        <v>0</v>
      </c>
      <c r="L29" s="102">
        <f t="shared" si="9"/>
        <v>0</v>
      </c>
      <c r="M29" s="103">
        <f t="shared" si="10"/>
        <v>-11082.299999999999</v>
      </c>
      <c r="N29" s="102">
        <f t="shared" si="11"/>
        <v>0</v>
      </c>
      <c r="O29" s="74" t="str">
        <f t="shared" si="12"/>
        <v/>
      </c>
      <c r="P29" s="75" t="str">
        <f t="shared" si="13"/>
        <v/>
      </c>
      <c r="Q29" s="76" t="str">
        <f t="shared" si="14"/>
        <v/>
      </c>
      <c r="R29" s="77">
        <f t="shared" si="15"/>
        <v>0</v>
      </c>
      <c r="S29" s="5"/>
      <c r="T29" s="5"/>
      <c r="U29" s="5"/>
      <c r="V29" s="1"/>
      <c r="W29" s="1"/>
      <c r="X29" s="1"/>
      <c r="Y29" s="1"/>
      <c r="Z29" s="1"/>
    </row>
    <row r="30" s="1" customFormat="1" ht="17.25">
      <c r="A30" s="93"/>
      <c r="B30" s="100"/>
      <c r="C30" s="121" t="s">
        <v>73</v>
      </c>
      <c r="D30" s="137" t="s">
        <v>74</v>
      </c>
      <c r="E30" s="102">
        <f>E31+E33+E32</f>
        <v>80587.51999999999</v>
      </c>
      <c r="F30" s="102">
        <f>F31+F33+F32</f>
        <v>50575.799999999996</v>
      </c>
      <c r="G30" s="102">
        <f>G31+G33+G32</f>
        <v>33274.799999999996</v>
      </c>
      <c r="H30" s="102">
        <f>H31+H33+H32</f>
        <v>3940.5</v>
      </c>
      <c r="I30" s="102">
        <f>I31+I33+I32</f>
        <v>44386.919999999998</v>
      </c>
      <c r="J30" s="102">
        <f>J31+J33+J32</f>
        <v>261.31999999999999</v>
      </c>
      <c r="K30" s="102">
        <f t="shared" si="8"/>
        <v>-36200.599999999991</v>
      </c>
      <c r="L30" s="103">
        <f t="shared" si="9"/>
        <v>11112.120000000003</v>
      </c>
      <c r="M30" s="102">
        <f t="shared" si="10"/>
        <v>-6188.8799999999974</v>
      </c>
      <c r="N30" s="103">
        <f t="shared" si="11"/>
        <v>-3679.1799999999998</v>
      </c>
      <c r="O30" s="75">
        <f t="shared" si="12"/>
        <v>0.550791487317143</v>
      </c>
      <c r="P30" s="74">
        <f t="shared" si="13"/>
        <v>0.066316457302372789</v>
      </c>
      <c r="Q30" s="75">
        <f t="shared" si="14"/>
        <v>1.3339500162284974</v>
      </c>
      <c r="R30" s="77">
        <f t="shared" si="15"/>
        <v>0.87763159455708073</v>
      </c>
      <c r="S30" s="5"/>
      <c r="T30" s="5"/>
      <c r="U30" s="5"/>
      <c r="V30" s="1"/>
      <c r="W30" s="1"/>
      <c r="X30" s="1"/>
      <c r="Y30" s="1"/>
      <c r="Z30" s="1"/>
    </row>
    <row r="31" s="138" customFormat="1" ht="17.25">
      <c r="A31" s="139"/>
      <c r="B31" s="140"/>
      <c r="C31" s="141" t="s">
        <v>75</v>
      </c>
      <c r="D31" s="142" t="s">
        <v>76</v>
      </c>
      <c r="E31" s="143">
        <v>59048.559999999998</v>
      </c>
      <c r="F31" s="144">
        <v>21192.900000000001</v>
      </c>
      <c r="G31" s="144">
        <v>13357.6</v>
      </c>
      <c r="H31" s="145">
        <v>1676.3</v>
      </c>
      <c r="I31" s="143">
        <v>23822.490000000002</v>
      </c>
      <c r="J31" s="145">
        <v>0</v>
      </c>
      <c r="K31" s="143">
        <f t="shared" si="8"/>
        <v>-35226.069999999992</v>
      </c>
      <c r="L31" s="143">
        <f t="shared" si="9"/>
        <v>10464.890000000001</v>
      </c>
      <c r="M31" s="146">
        <f t="shared" si="10"/>
        <v>2629.5900000000001</v>
      </c>
      <c r="N31" s="143">
        <f t="shared" si="11"/>
        <v>-1676.3</v>
      </c>
      <c r="O31" s="147">
        <f t="shared" si="12"/>
        <v>0.4034389661661521</v>
      </c>
      <c r="P31" s="148">
        <f t="shared" si="13"/>
        <v>0</v>
      </c>
      <c r="Q31" s="149">
        <f t="shared" si="14"/>
        <v>1.7834408875845962</v>
      </c>
      <c r="R31" s="150">
        <f t="shared" si="15"/>
        <v>1.1240788188497091</v>
      </c>
      <c r="S31" s="151"/>
      <c r="T31" s="151"/>
      <c r="U31" s="151"/>
      <c r="V31" s="138"/>
      <c r="W31" s="138"/>
      <c r="X31" s="138"/>
      <c r="Y31" s="138"/>
      <c r="Z31" s="138"/>
    </row>
    <row r="32" s="138" customFormat="1" ht="17.25">
      <c r="A32" s="139"/>
      <c r="B32" s="140"/>
      <c r="C32" s="152" t="s">
        <v>77</v>
      </c>
      <c r="D32" s="153" t="s">
        <v>78</v>
      </c>
      <c r="E32" s="143">
        <v>0</v>
      </c>
      <c r="F32" s="144">
        <v>159.09999999999999</v>
      </c>
      <c r="G32" s="144">
        <v>159.09999999999999</v>
      </c>
      <c r="H32" s="143">
        <v>0</v>
      </c>
      <c r="I32" s="146">
        <v>1306.2</v>
      </c>
      <c r="J32" s="143">
        <v>0</v>
      </c>
      <c r="K32" s="143">
        <f t="shared" si="8"/>
        <v>1306.2</v>
      </c>
      <c r="L32" s="146">
        <f t="shared" si="9"/>
        <v>1147.1000000000001</v>
      </c>
      <c r="M32" s="143">
        <f t="shared" si="10"/>
        <v>1147.1000000000001</v>
      </c>
      <c r="N32" s="146">
        <f t="shared" si="11"/>
        <v>0</v>
      </c>
      <c r="O32" s="154" t="str">
        <f t="shared" si="12"/>
        <v/>
      </c>
      <c r="P32" s="155" t="str">
        <f t="shared" si="13"/>
        <v/>
      </c>
      <c r="Q32" s="148">
        <f t="shared" si="14"/>
        <v>8.2099308610936532</v>
      </c>
      <c r="R32" s="150">
        <f t="shared" si="15"/>
        <v>8.2099308610936532</v>
      </c>
      <c r="S32" s="151"/>
      <c r="T32" s="151"/>
      <c r="U32" s="151"/>
      <c r="V32" s="138"/>
      <c r="W32" s="138"/>
      <c r="X32" s="138"/>
      <c r="Y32" s="138"/>
      <c r="Z32" s="138"/>
    </row>
    <row r="33" s="138" customFormat="1" ht="17.25">
      <c r="A33" s="139"/>
      <c r="B33" s="140"/>
      <c r="C33" s="141" t="s">
        <v>79</v>
      </c>
      <c r="D33" s="153" t="s">
        <v>80</v>
      </c>
      <c r="E33" s="143">
        <v>21538.959999999999</v>
      </c>
      <c r="F33" s="144">
        <v>29223.799999999999</v>
      </c>
      <c r="G33" s="144">
        <v>19758.099999999999</v>
      </c>
      <c r="H33" s="143">
        <v>2264.1999999999998</v>
      </c>
      <c r="I33" s="156">
        <v>19258.23</v>
      </c>
      <c r="J33" s="143">
        <v>261.31999999999999</v>
      </c>
      <c r="K33" s="143">
        <f t="shared" si="8"/>
        <v>-2280.7299999999996</v>
      </c>
      <c r="L33" s="143">
        <f t="shared" si="9"/>
        <v>-499.86999999999898</v>
      </c>
      <c r="M33" s="143">
        <f t="shared" si="10"/>
        <v>-9965.5699999999997</v>
      </c>
      <c r="N33" s="143">
        <f t="shared" si="11"/>
        <v>-2002.8799999999999</v>
      </c>
      <c r="O33" s="147">
        <f t="shared" si="12"/>
        <v>0.89411141485011347</v>
      </c>
      <c r="P33" s="148">
        <f t="shared" si="13"/>
        <v>0.1154138327002915</v>
      </c>
      <c r="Q33" s="149">
        <f t="shared" si="14"/>
        <v>0.97470050257868934</v>
      </c>
      <c r="R33" s="150">
        <f t="shared" si="15"/>
        <v>0.65899130161033126</v>
      </c>
      <c r="S33" s="151"/>
      <c r="T33" s="151"/>
      <c r="U33" s="151"/>
      <c r="V33" s="138"/>
      <c r="W33" s="138"/>
      <c r="X33" s="138"/>
      <c r="Y33" s="138"/>
      <c r="Z33" s="138"/>
    </row>
    <row r="34" s="106" customFormat="1" ht="17.25">
      <c r="A34" s="139"/>
      <c r="B34" s="157"/>
      <c r="C34" s="109"/>
      <c r="D34" s="110" t="s">
        <v>56</v>
      </c>
      <c r="E34" s="111">
        <f>SUM(E26:E30)</f>
        <v>129545.41999999998</v>
      </c>
      <c r="F34" s="111">
        <f>SUM(F26:F30)</f>
        <v>147465.10000000001</v>
      </c>
      <c r="G34" s="111">
        <f>SUM(G26:G30)</f>
        <v>84412.100000000006</v>
      </c>
      <c r="H34" s="111">
        <f>SUM(H26:H30)</f>
        <v>10852.9</v>
      </c>
      <c r="I34" s="111">
        <f>SUM(I26:I30)</f>
        <v>90248.150000000009</v>
      </c>
      <c r="J34" s="111">
        <f>SUM(J26:J30)</f>
        <v>1897.9899999999998</v>
      </c>
      <c r="K34" s="111">
        <f t="shared" si="8"/>
        <v>-39297.269999999975</v>
      </c>
      <c r="L34" s="130">
        <f t="shared" si="9"/>
        <v>5836.0500000000029</v>
      </c>
      <c r="M34" s="111">
        <f t="shared" si="10"/>
        <v>-57216.949999999997</v>
      </c>
      <c r="N34" s="111">
        <f t="shared" si="11"/>
        <v>-8954.9099999999999</v>
      </c>
      <c r="O34" s="113">
        <f t="shared" si="12"/>
        <v>0.69665257173893158</v>
      </c>
      <c r="P34" s="131">
        <f t="shared" si="13"/>
        <v>0.17488321093901169</v>
      </c>
      <c r="Q34" s="113">
        <f t="shared" si="14"/>
        <v>1.0691375999412407</v>
      </c>
      <c r="R34" s="114">
        <f t="shared" si="15"/>
        <v>0.61199666904237005</v>
      </c>
      <c r="S34" s="115"/>
      <c r="T34" s="115"/>
      <c r="U34" s="115"/>
      <c r="V34" s="106"/>
      <c r="W34" s="106"/>
      <c r="X34" s="106"/>
      <c r="Y34" s="106"/>
      <c r="Z34" s="106"/>
    </row>
    <row r="35" ht="17.25">
      <c r="A35" s="93" t="s">
        <v>81</v>
      </c>
      <c r="B35" s="94" t="s">
        <v>39</v>
      </c>
      <c r="C35" s="117" t="s">
        <v>82</v>
      </c>
      <c r="D35" s="118" t="s">
        <v>83</v>
      </c>
      <c r="E35" s="97">
        <v>158250.48999999999</v>
      </c>
      <c r="F35" s="97">
        <v>306696.20000000001</v>
      </c>
      <c r="G35" s="97">
        <v>182140</v>
      </c>
      <c r="H35" s="60">
        <v>10800</v>
      </c>
      <c r="I35" s="98">
        <v>153999</v>
      </c>
      <c r="J35" s="60">
        <v>4845.54</v>
      </c>
      <c r="K35" s="60">
        <f t="shared" si="8"/>
        <v>-4251.4899999999907</v>
      </c>
      <c r="L35" s="60">
        <f t="shared" si="9"/>
        <v>-28141</v>
      </c>
      <c r="M35" s="61">
        <f t="shared" si="10"/>
        <v>-152697.20000000001</v>
      </c>
      <c r="N35" s="60">
        <f t="shared" si="11"/>
        <v>-5954.46</v>
      </c>
      <c r="O35" s="63">
        <f t="shared" si="12"/>
        <v>0.97313442757744384</v>
      </c>
      <c r="P35" s="62">
        <f t="shared" si="13"/>
        <v>0.44866111111111112</v>
      </c>
      <c r="Q35" s="119">
        <f t="shared" si="14"/>
        <v>0.84549796859558579</v>
      </c>
      <c r="R35" s="64">
        <f t="shared" si="15"/>
        <v>0.50212229561370503</v>
      </c>
      <c r="S35" s="5"/>
      <c r="T35" s="5"/>
      <c r="U35" s="5"/>
      <c r="V35" s="1"/>
      <c r="W35" s="1"/>
      <c r="X35" s="1"/>
      <c r="Y35" s="1"/>
      <c r="Z35" s="1"/>
    </row>
    <row r="36" ht="34.5">
      <c r="A36" s="99"/>
      <c r="B36" s="100"/>
      <c r="C36" s="67" t="s">
        <v>84</v>
      </c>
      <c r="D36" s="136" t="s">
        <v>85</v>
      </c>
      <c r="E36" s="102">
        <v>104911.57000000001</v>
      </c>
      <c r="F36" s="122">
        <v>106559.10000000001</v>
      </c>
      <c r="G36" s="122">
        <v>78037.899999999994</v>
      </c>
      <c r="H36" s="102">
        <v>800</v>
      </c>
      <c r="I36" s="102">
        <v>140992.95000000001</v>
      </c>
      <c r="J36" s="102">
        <v>4157.4800000000005</v>
      </c>
      <c r="K36" s="102">
        <f t="shared" si="8"/>
        <v>36081.380000000005</v>
      </c>
      <c r="L36" s="103">
        <f t="shared" si="9"/>
        <v>62955.050000000017</v>
      </c>
      <c r="M36" s="102">
        <f t="shared" si="10"/>
        <v>34433.850000000006</v>
      </c>
      <c r="N36" s="102">
        <f t="shared" si="11"/>
        <v>3357.4800000000005</v>
      </c>
      <c r="O36" s="75">
        <f t="shared" si="12"/>
        <v>1.3439218381728535</v>
      </c>
      <c r="P36" s="74">
        <f t="shared" si="13"/>
        <v>5.1968500000000004</v>
      </c>
      <c r="Q36" s="75">
        <f t="shared" si="14"/>
        <v>1.806724040498271</v>
      </c>
      <c r="R36" s="77">
        <f t="shared" si="15"/>
        <v>1.3231432134843482</v>
      </c>
      <c r="S36" s="5"/>
      <c r="T36" s="5"/>
      <c r="U36" s="5"/>
      <c r="V36" s="1"/>
      <c r="W36" s="1"/>
      <c r="X36" s="1"/>
      <c r="Y36" s="1"/>
      <c r="Z36" s="1"/>
    </row>
    <row r="37" ht="34.5">
      <c r="A37" s="99"/>
      <c r="B37" s="100"/>
      <c r="C37" s="78" t="s">
        <v>86</v>
      </c>
      <c r="D37" s="104" t="s">
        <v>87</v>
      </c>
      <c r="E37" s="102">
        <v>36844.080000000002</v>
      </c>
      <c r="F37" s="122">
        <v>58127.599999999999</v>
      </c>
      <c r="G37" s="122">
        <v>35665</v>
      </c>
      <c r="H37" s="102">
        <v>1000</v>
      </c>
      <c r="I37" s="105">
        <v>43977.110000000001</v>
      </c>
      <c r="J37" s="102">
        <v>90.920000000000002</v>
      </c>
      <c r="K37" s="102">
        <f t="shared" si="8"/>
        <v>7133.0299999999988</v>
      </c>
      <c r="L37" s="102">
        <f t="shared" si="9"/>
        <v>8312.1100000000006</v>
      </c>
      <c r="M37" s="102">
        <f t="shared" si="10"/>
        <v>-14150.489999999998</v>
      </c>
      <c r="N37" s="102">
        <f t="shared" si="11"/>
        <v>-909.08000000000004</v>
      </c>
      <c r="O37" s="74">
        <f t="shared" si="12"/>
        <v>1.1936004373022748</v>
      </c>
      <c r="P37" s="75">
        <f t="shared" si="13"/>
        <v>0.090920000000000001</v>
      </c>
      <c r="Q37" s="76">
        <f t="shared" si="14"/>
        <v>1.2330607037712042</v>
      </c>
      <c r="R37" s="77">
        <f t="shared" si="15"/>
        <v>0.75656159896503561</v>
      </c>
      <c r="S37" s="5"/>
      <c r="T37" s="5"/>
      <c r="U37" s="5"/>
      <c r="V37" s="1"/>
      <c r="W37" s="1"/>
      <c r="X37" s="1"/>
      <c r="Y37" s="1"/>
      <c r="Z37" s="1"/>
    </row>
    <row r="38" ht="34.5">
      <c r="A38" s="99"/>
      <c r="B38" s="100"/>
      <c r="C38" s="67" t="s">
        <v>88</v>
      </c>
      <c r="D38" s="136" t="s">
        <v>89</v>
      </c>
      <c r="E38" s="102">
        <v>10778.75</v>
      </c>
      <c r="F38" s="122">
        <v>86367.300000000003</v>
      </c>
      <c r="G38" s="122">
        <v>57056.5</v>
      </c>
      <c r="H38" s="102">
        <v>0</v>
      </c>
      <c r="I38" s="102">
        <v>12342.469999999999</v>
      </c>
      <c r="J38" s="102">
        <v>-1320.9000000000001</v>
      </c>
      <c r="K38" s="102">
        <f t="shared" si="8"/>
        <v>1563.7199999999993</v>
      </c>
      <c r="L38" s="102">
        <f t="shared" si="9"/>
        <v>-44714.029999999999</v>
      </c>
      <c r="M38" s="102">
        <f t="shared" si="10"/>
        <v>-74024.830000000002</v>
      </c>
      <c r="N38" s="102">
        <f t="shared" si="11"/>
        <v>-1320.9000000000001</v>
      </c>
      <c r="O38" s="75">
        <f t="shared" si="12"/>
        <v>1.145074336077931</v>
      </c>
      <c r="P38" s="75" t="str">
        <f t="shared" si="13"/>
        <v/>
      </c>
      <c r="Q38" s="75">
        <f t="shared" si="14"/>
        <v>0.21632013880977627</v>
      </c>
      <c r="R38" s="77">
        <f t="shared" si="15"/>
        <v>0.14290674827162594</v>
      </c>
      <c r="S38" s="5"/>
      <c r="T38" s="5"/>
      <c r="U38" s="5"/>
      <c r="V38" s="1"/>
      <c r="W38" s="1"/>
      <c r="X38" s="1"/>
      <c r="Y38" s="1"/>
      <c r="Z38" s="1"/>
    </row>
    <row r="39" s="1" customFormat="1" ht="17.25">
      <c r="A39" s="99"/>
      <c r="B39" s="100"/>
      <c r="C39" s="78" t="s">
        <v>90</v>
      </c>
      <c r="D39" s="104" t="s">
        <v>91</v>
      </c>
      <c r="E39" s="102">
        <v>2418.7199999999998</v>
      </c>
      <c r="F39" s="102">
        <v>3217.3000000000002</v>
      </c>
      <c r="G39" s="102">
        <v>2454.1999999999998</v>
      </c>
      <c r="H39" s="102">
        <v>0</v>
      </c>
      <c r="I39" s="105">
        <v>3144.3200000000002</v>
      </c>
      <c r="J39" s="102">
        <v>28.210000000000001</v>
      </c>
      <c r="K39" s="102">
        <f t="shared" si="8"/>
        <v>725.60000000000036</v>
      </c>
      <c r="L39" s="102">
        <f t="shared" si="9"/>
        <v>690.12000000000035</v>
      </c>
      <c r="M39" s="102">
        <f t="shared" si="10"/>
        <v>-72.980000000000018</v>
      </c>
      <c r="N39" s="102">
        <f t="shared" si="11"/>
        <v>28.210000000000001</v>
      </c>
      <c r="O39" s="74">
        <f t="shared" si="12"/>
        <v>1.2999933849308727</v>
      </c>
      <c r="P39" s="75" t="str">
        <f t="shared" si="13"/>
        <v/>
      </c>
      <c r="Q39" s="76">
        <f t="shared" si="14"/>
        <v>1.2811995762366557</v>
      </c>
      <c r="R39" s="77">
        <f t="shared" si="15"/>
        <v>0.97731638330276938</v>
      </c>
      <c r="S39" s="5"/>
      <c r="T39" s="5"/>
      <c r="U39" s="5"/>
      <c r="V39" s="1"/>
      <c r="W39" s="1"/>
      <c r="X39" s="1"/>
      <c r="Y39" s="1"/>
      <c r="Z39" s="1"/>
    </row>
    <row r="40" s="1" customFormat="1" ht="17.25">
      <c r="A40" s="99"/>
      <c r="B40" s="100"/>
      <c r="C40" s="67" t="s">
        <v>92</v>
      </c>
      <c r="D40" s="104" t="s">
        <v>93</v>
      </c>
      <c r="E40" s="102">
        <v>490.76999999999998</v>
      </c>
      <c r="F40" s="102">
        <v>0</v>
      </c>
      <c r="G40" s="102">
        <v>0</v>
      </c>
      <c r="H40" s="102">
        <v>0</v>
      </c>
      <c r="I40" s="103">
        <v>2394.6500000000001</v>
      </c>
      <c r="J40" s="102">
        <v>0.26000000000000001</v>
      </c>
      <c r="K40" s="102">
        <f t="shared" si="8"/>
        <v>1903.8800000000001</v>
      </c>
      <c r="L40" s="102">
        <f t="shared" si="9"/>
        <v>2394.6500000000001</v>
      </c>
      <c r="M40" s="102">
        <f t="shared" si="10"/>
        <v>2394.6500000000001</v>
      </c>
      <c r="N40" s="103">
        <f t="shared" si="11"/>
        <v>0.26000000000000001</v>
      </c>
      <c r="O40" s="75">
        <f t="shared" si="12"/>
        <v>4.8793732298225239</v>
      </c>
      <c r="P40" s="75" t="str">
        <f t="shared" si="13"/>
        <v/>
      </c>
      <c r="Q40" s="75" t="str">
        <f t="shared" si="14"/>
        <v/>
      </c>
      <c r="R40" s="77" t="str">
        <f t="shared" si="15"/>
        <v/>
      </c>
      <c r="S40" s="5"/>
      <c r="T40" s="5"/>
      <c r="U40" s="5"/>
      <c r="V40" s="1"/>
      <c r="W40" s="1"/>
      <c r="X40" s="1"/>
      <c r="Y40" s="1"/>
      <c r="Z40" s="1"/>
    </row>
    <row r="41" s="1" customFormat="1" ht="17.25">
      <c r="A41" s="99"/>
      <c r="B41" s="100"/>
      <c r="C41" s="121" t="s">
        <v>69</v>
      </c>
      <c r="D41" s="136" t="s">
        <v>70</v>
      </c>
      <c r="E41" s="102">
        <v>1661.6099999999999</v>
      </c>
      <c r="F41" s="122">
        <v>3460.9000000000001</v>
      </c>
      <c r="G41" s="122">
        <v>1225</v>
      </c>
      <c r="H41" s="102">
        <v>114</v>
      </c>
      <c r="I41" s="102">
        <v>3043.1199999999999</v>
      </c>
      <c r="J41" s="102">
        <v>27.379999999999999</v>
      </c>
      <c r="K41" s="102">
        <f t="shared" si="8"/>
        <v>1381.51</v>
      </c>
      <c r="L41" s="103">
        <f t="shared" si="9"/>
        <v>1818.1199999999999</v>
      </c>
      <c r="M41" s="102">
        <f t="shared" si="10"/>
        <v>-417.7800000000002</v>
      </c>
      <c r="N41" s="102">
        <f t="shared" si="11"/>
        <v>-86.620000000000005</v>
      </c>
      <c r="O41" s="75">
        <f t="shared" si="12"/>
        <v>1.8314285542335447</v>
      </c>
      <c r="P41" s="75">
        <f t="shared" si="13"/>
        <v>0.24017543859649121</v>
      </c>
      <c r="Q41" s="75">
        <f t="shared" si="14"/>
        <v>2.4841795918367344</v>
      </c>
      <c r="R41" s="77">
        <f t="shared" si="15"/>
        <v>0.87928573492444162</v>
      </c>
      <c r="S41" s="5"/>
      <c r="T41" s="5"/>
      <c r="U41" s="5"/>
      <c r="V41" s="1"/>
      <c r="W41" s="1"/>
      <c r="X41" s="1"/>
      <c r="Y41" s="1"/>
      <c r="Z41" s="1"/>
    </row>
    <row r="42" s="1" customFormat="1" ht="17.25">
      <c r="A42" s="99"/>
      <c r="B42" s="100"/>
      <c r="C42" s="4" t="s">
        <v>94</v>
      </c>
      <c r="D42" s="136" t="s">
        <v>95</v>
      </c>
      <c r="E42" s="102">
        <v>91407.720000000001</v>
      </c>
      <c r="F42" s="122">
        <v>216854</v>
      </c>
      <c r="G42" s="122">
        <v>133253.79999999999</v>
      </c>
      <c r="H42" s="102">
        <v>20500</v>
      </c>
      <c r="I42" s="102">
        <v>173109.95000000001</v>
      </c>
      <c r="J42" s="102">
        <v>19029.059999999998</v>
      </c>
      <c r="K42" s="102">
        <f t="shared" si="8"/>
        <v>81702.23000000001</v>
      </c>
      <c r="L42" s="102">
        <f t="shared" si="9"/>
        <v>39856.150000000023</v>
      </c>
      <c r="M42" s="102">
        <f t="shared" si="10"/>
        <v>-43744.049999999988</v>
      </c>
      <c r="N42" s="102">
        <f t="shared" si="11"/>
        <v>-1470.9400000000023</v>
      </c>
      <c r="O42" s="74">
        <f t="shared" si="12"/>
        <v>1.8938219879021161</v>
      </c>
      <c r="P42" s="75">
        <f t="shared" si="13"/>
        <v>0.92824682926829261</v>
      </c>
      <c r="Q42" s="76">
        <f t="shared" si="14"/>
        <v>1.2990995378743422</v>
      </c>
      <c r="R42" s="77">
        <f t="shared" si="15"/>
        <v>0.798278795871877</v>
      </c>
      <c r="S42" s="5"/>
      <c r="T42" s="5"/>
      <c r="U42" s="5"/>
      <c r="V42" s="1"/>
      <c r="W42" s="1"/>
      <c r="X42" s="1"/>
      <c r="Y42" s="1"/>
      <c r="Z42" s="1"/>
    </row>
    <row r="43" s="1" customFormat="1" ht="34.5">
      <c r="A43" s="99"/>
      <c r="B43" s="100"/>
      <c r="C43" s="121" t="s">
        <v>96</v>
      </c>
      <c r="D43" s="136" t="s">
        <v>97</v>
      </c>
      <c r="E43" s="102">
        <v>12263.459999999999</v>
      </c>
      <c r="F43" s="122">
        <v>30375.900000000001</v>
      </c>
      <c r="G43" s="122">
        <v>30375.900000000001</v>
      </c>
      <c r="H43" s="122">
        <v>0</v>
      </c>
      <c r="I43" s="102">
        <v>30375.900000000001</v>
      </c>
      <c r="J43" s="102">
        <v>0</v>
      </c>
      <c r="K43" s="102">
        <f t="shared" si="8"/>
        <v>18112.440000000002</v>
      </c>
      <c r="L43" s="102">
        <f t="shared" si="9"/>
        <v>0</v>
      </c>
      <c r="M43" s="102">
        <f t="shared" si="10"/>
        <v>0</v>
      </c>
      <c r="N43" s="103">
        <f t="shared" si="11"/>
        <v>0</v>
      </c>
      <c r="O43" s="75">
        <f t="shared" si="12"/>
        <v>2.4769437010435884</v>
      </c>
      <c r="P43" s="75" t="str">
        <f t="shared" si="13"/>
        <v/>
      </c>
      <c r="Q43" s="75">
        <f t="shared" si="14"/>
        <v>1</v>
      </c>
      <c r="R43" s="77">
        <f t="shared" si="15"/>
        <v>1</v>
      </c>
      <c r="S43" s="5"/>
      <c r="T43" s="5"/>
      <c r="U43" s="5"/>
      <c r="V43" s="1"/>
      <c r="W43" s="1"/>
      <c r="X43" s="1"/>
      <c r="Y43" s="1"/>
      <c r="Z43" s="1"/>
    </row>
    <row r="44" s="1" customFormat="1" ht="34.5">
      <c r="A44" s="99"/>
      <c r="B44" s="100"/>
      <c r="C44" s="4" t="s">
        <v>98</v>
      </c>
      <c r="D44" s="136" t="s">
        <v>99</v>
      </c>
      <c r="E44" s="102">
        <v>50214.220000000001</v>
      </c>
      <c r="F44" s="122">
        <v>101764.89999999999</v>
      </c>
      <c r="G44" s="122">
        <v>57900</v>
      </c>
      <c r="H44" s="102">
        <v>10200</v>
      </c>
      <c r="I44" s="102">
        <v>51054.349999999999</v>
      </c>
      <c r="J44" s="102">
        <v>660.16000000000008</v>
      </c>
      <c r="K44" s="102">
        <f t="shared" si="8"/>
        <v>840.12999999999738</v>
      </c>
      <c r="L44" s="102">
        <f t="shared" si="9"/>
        <v>-6845.6500000000015</v>
      </c>
      <c r="M44" s="102">
        <f t="shared" si="10"/>
        <v>-50710.549999999996</v>
      </c>
      <c r="N44" s="102">
        <f t="shared" si="11"/>
        <v>-9539.8400000000001</v>
      </c>
      <c r="O44" s="75">
        <f t="shared" si="12"/>
        <v>1.0167309180546864</v>
      </c>
      <c r="P44" s="75">
        <f t="shared" si="13"/>
        <v>0.064721568627450987</v>
      </c>
      <c r="Q44" s="76">
        <f t="shared" si="14"/>
        <v>0.88176770293609674</v>
      </c>
      <c r="R44" s="77">
        <f t="shared" si="15"/>
        <v>0.50168918752929548</v>
      </c>
      <c r="S44" s="5"/>
      <c r="T44" s="5"/>
      <c r="U44" s="5"/>
      <c r="V44" s="1"/>
      <c r="W44" s="1"/>
      <c r="X44" s="1"/>
      <c r="Y44" s="1"/>
      <c r="Z44" s="1"/>
    </row>
    <row r="45" s="1" customFormat="1" ht="34.5">
      <c r="A45" s="99"/>
      <c r="B45" s="100"/>
      <c r="C45" s="121" t="s">
        <v>100</v>
      </c>
      <c r="D45" s="137" t="s">
        <v>101</v>
      </c>
      <c r="E45" s="102">
        <v>4539.1700000000001</v>
      </c>
      <c r="F45" s="122">
        <v>0</v>
      </c>
      <c r="G45" s="122">
        <v>0</v>
      </c>
      <c r="H45" s="102">
        <v>0</v>
      </c>
      <c r="I45" s="102">
        <v>418.31</v>
      </c>
      <c r="J45" s="102">
        <v>0</v>
      </c>
      <c r="K45" s="102">
        <f t="shared" si="8"/>
        <v>-4120.8599999999997</v>
      </c>
      <c r="L45" s="102">
        <f t="shared" si="9"/>
        <v>418.31</v>
      </c>
      <c r="M45" s="102">
        <f t="shared" si="10"/>
        <v>418.31</v>
      </c>
      <c r="N45" s="102">
        <f t="shared" si="11"/>
        <v>0</v>
      </c>
      <c r="O45" s="75">
        <f t="shared" si="12"/>
        <v>0.092155614352403631</v>
      </c>
      <c r="P45" s="75" t="str">
        <f t="shared" si="13"/>
        <v/>
      </c>
      <c r="Q45" s="75" t="str">
        <f t="shared" si="14"/>
        <v/>
      </c>
      <c r="R45" s="77"/>
      <c r="S45" s="5"/>
      <c r="T45" s="5"/>
      <c r="U45" s="5"/>
      <c r="V45" s="1"/>
      <c r="W45" s="1"/>
      <c r="X45" s="1"/>
      <c r="Y45" s="1"/>
      <c r="Z45" s="1"/>
    </row>
    <row r="46" s="1" customFormat="1" ht="17.25">
      <c r="A46" s="99"/>
      <c r="B46" s="100"/>
      <c r="C46" s="78" t="s">
        <v>102</v>
      </c>
      <c r="D46" s="158" t="s">
        <v>103</v>
      </c>
      <c r="E46" s="122">
        <v>4960.25</v>
      </c>
      <c r="F46" s="122">
        <v>8380.6000000000004</v>
      </c>
      <c r="G46" s="122">
        <v>4187.6000000000004</v>
      </c>
      <c r="H46" s="102">
        <v>0</v>
      </c>
      <c r="I46" s="105">
        <v>17164.240000000002</v>
      </c>
      <c r="J46" s="102">
        <v>106.66</v>
      </c>
      <c r="K46" s="102">
        <f t="shared" si="8"/>
        <v>12203.990000000002</v>
      </c>
      <c r="L46" s="102">
        <f t="shared" si="9"/>
        <v>12976.640000000001</v>
      </c>
      <c r="M46" s="102">
        <f t="shared" si="10"/>
        <v>8783.6400000000012</v>
      </c>
      <c r="N46" s="102">
        <f t="shared" si="11"/>
        <v>106.66</v>
      </c>
      <c r="O46" s="74">
        <f t="shared" si="12"/>
        <v>3.4603578448666905</v>
      </c>
      <c r="P46" s="75" t="str">
        <f t="shared" si="13"/>
        <v/>
      </c>
      <c r="Q46" s="75">
        <f t="shared" si="14"/>
        <v>4.0988251026841152</v>
      </c>
      <c r="R46" s="77">
        <f t="shared" si="15"/>
        <v>2.0480920220509273</v>
      </c>
      <c r="S46" s="5"/>
      <c r="T46" s="5"/>
      <c r="U46" s="5"/>
      <c r="V46" s="1"/>
      <c r="W46" s="1"/>
      <c r="X46" s="1"/>
      <c r="Y46" s="1"/>
      <c r="Z46" s="1"/>
    </row>
    <row r="47" s="1" customFormat="1" ht="17.25">
      <c r="A47" s="99"/>
      <c r="B47" s="100"/>
      <c r="C47" s="78" t="s">
        <v>104</v>
      </c>
      <c r="D47" s="101" t="s">
        <v>105</v>
      </c>
      <c r="E47" s="102">
        <v>39822.800000000003</v>
      </c>
      <c r="F47" s="122">
        <v>77364.100000000006</v>
      </c>
      <c r="G47" s="122">
        <v>52400</v>
      </c>
      <c r="H47" s="103">
        <v>7200</v>
      </c>
      <c r="I47" s="102">
        <v>97285.279999999999</v>
      </c>
      <c r="J47" s="103">
        <v>1860.0599999999999</v>
      </c>
      <c r="K47" s="102">
        <f t="shared" si="8"/>
        <v>57462.479999999996</v>
      </c>
      <c r="L47" s="103">
        <f t="shared" si="9"/>
        <v>44885.279999999999</v>
      </c>
      <c r="M47" s="102">
        <f t="shared" si="10"/>
        <v>19921.179999999993</v>
      </c>
      <c r="N47" s="102">
        <f t="shared" si="11"/>
        <v>-5339.9400000000005</v>
      </c>
      <c r="O47" s="75">
        <f t="shared" si="12"/>
        <v>2.4429542874935963</v>
      </c>
      <c r="P47" s="74">
        <f t="shared" si="13"/>
        <v>0.25834166666666664</v>
      </c>
      <c r="Q47" s="75">
        <f t="shared" si="14"/>
        <v>1.8565893129770992</v>
      </c>
      <c r="R47" s="77">
        <f t="shared" si="15"/>
        <v>1.257499020863682</v>
      </c>
      <c r="S47" s="5"/>
      <c r="T47" s="5"/>
      <c r="U47" s="5"/>
      <c r="V47" s="1"/>
      <c r="W47" s="1"/>
      <c r="X47" s="1"/>
      <c r="Y47" s="1"/>
      <c r="Z47" s="1"/>
    </row>
    <row r="48" s="106" customFormat="1" ht="17.25">
      <c r="A48" s="107"/>
      <c r="B48" s="157"/>
      <c r="C48" s="109"/>
      <c r="D48" s="129" t="s">
        <v>56</v>
      </c>
      <c r="E48" s="159">
        <f>SUM(E35:E47)</f>
        <v>518563.60999999999</v>
      </c>
      <c r="F48" s="159">
        <f>SUM(F35:F47)</f>
        <v>999167.90000000014</v>
      </c>
      <c r="G48" s="159">
        <f>SUM(G35:G47)</f>
        <v>634695.90000000002</v>
      </c>
      <c r="H48" s="159">
        <f>SUM(H35:H47)</f>
        <v>50614</v>
      </c>
      <c r="I48" s="159">
        <f>SUM(I35:I47)</f>
        <v>729301.65000000014</v>
      </c>
      <c r="J48" s="159">
        <f>SUM(J35:J47)</f>
        <v>29484.829999999998</v>
      </c>
      <c r="K48" s="130">
        <f>SUM(K35:K47)</f>
        <v>210738.04000000004</v>
      </c>
      <c r="L48" s="159">
        <f t="shared" si="9"/>
        <v>94605.750000000116</v>
      </c>
      <c r="M48" s="159">
        <f>SUM(M35:M47)</f>
        <v>-269866.25</v>
      </c>
      <c r="N48" s="160">
        <f>SUM(N35:N47)</f>
        <v>-21129.170000000002</v>
      </c>
      <c r="O48" s="131">
        <f t="shared" si="12"/>
        <v>1.4063880224838765</v>
      </c>
      <c r="P48" s="113">
        <f t="shared" si="13"/>
        <v>0.58254297230015406</v>
      </c>
      <c r="Q48" s="132">
        <f t="shared" si="14"/>
        <v>1.1490568160279595</v>
      </c>
      <c r="R48" s="114">
        <f t="shared" si="15"/>
        <v>0.72990900728496189</v>
      </c>
      <c r="S48" s="115"/>
      <c r="T48" s="115"/>
      <c r="U48" s="115"/>
      <c r="V48" s="106"/>
      <c r="W48" s="106"/>
      <c r="X48" s="106"/>
      <c r="Y48" s="106"/>
      <c r="Z48" s="106"/>
    </row>
    <row r="49" ht="17.25">
      <c r="A49" s="161" t="s">
        <v>106</v>
      </c>
      <c r="B49" s="162" t="s">
        <v>107</v>
      </c>
      <c r="C49" s="133" t="s">
        <v>108</v>
      </c>
      <c r="D49" s="163" t="s">
        <v>109</v>
      </c>
      <c r="E49" s="60">
        <v>355672.03999999998</v>
      </c>
      <c r="F49" s="97">
        <f>672351.5-9496.39</f>
        <v>662855.10999999999</v>
      </c>
      <c r="G49" s="97">
        <v>405528.96999999997</v>
      </c>
      <c r="H49" s="61">
        <v>31763.060000000001</v>
      </c>
      <c r="I49" s="60">
        <v>385647.81</v>
      </c>
      <c r="J49" s="61">
        <v>10443.639999999999</v>
      </c>
      <c r="K49" s="60">
        <f t="shared" ref="K49:K83" si="16">I49-E49</f>
        <v>29975.770000000019</v>
      </c>
      <c r="L49" s="60">
        <f t="shared" si="9"/>
        <v>-19881.159999999974</v>
      </c>
      <c r="M49" s="60">
        <f t="shared" ref="M49:M83" si="17">I49-F49</f>
        <v>-277207.29999999999</v>
      </c>
      <c r="N49" s="60">
        <f t="shared" ref="N49:N83" si="18">J49-H49</f>
        <v>-21319.420000000002</v>
      </c>
      <c r="O49" s="62">
        <f t="shared" si="12"/>
        <v>1.0842792421917675</v>
      </c>
      <c r="P49" s="62">
        <f t="shared" si="13"/>
        <v>0.32879829588207177</v>
      </c>
      <c r="Q49" s="62">
        <f t="shared" si="14"/>
        <v>0.95097474787066394</v>
      </c>
      <c r="R49" s="64">
        <f t="shared" si="15"/>
        <v>0.58179804935048329</v>
      </c>
      <c r="S49" s="5"/>
      <c r="T49" s="5"/>
      <c r="U49" s="5"/>
      <c r="V49" s="1"/>
      <c r="W49" s="1"/>
      <c r="X49" s="1"/>
      <c r="Y49" s="1"/>
      <c r="Z49" s="1"/>
    </row>
    <row r="50" ht="17.25">
      <c r="A50" s="99"/>
      <c r="B50" s="164"/>
      <c r="C50" s="67" t="s">
        <v>110</v>
      </c>
      <c r="D50" s="158" t="s">
        <v>111</v>
      </c>
      <c r="E50" s="102">
        <v>276892.64000000001</v>
      </c>
      <c r="F50" s="122">
        <f>494433.2-6983.53</f>
        <v>487449.66999999998</v>
      </c>
      <c r="G50" s="122">
        <v>327515.58000000002</v>
      </c>
      <c r="H50" s="102">
        <v>34539.349999999999</v>
      </c>
      <c r="I50" s="103">
        <v>300319.95000000001</v>
      </c>
      <c r="J50" s="102">
        <v>10203.52</v>
      </c>
      <c r="K50" s="102">
        <f t="shared" si="16"/>
        <v>23427.309999999998</v>
      </c>
      <c r="L50" s="102">
        <f t="shared" si="9"/>
        <v>-27195.630000000005</v>
      </c>
      <c r="M50" s="102">
        <f t="shared" si="17"/>
        <v>-187129.71999999997</v>
      </c>
      <c r="N50" s="103">
        <f t="shared" si="18"/>
        <v>-24335.829999999998</v>
      </c>
      <c r="O50" s="75">
        <f t="shared" si="12"/>
        <v>1.0846079187948079</v>
      </c>
      <c r="P50" s="75">
        <f t="shared" si="13"/>
        <v>0.29541725597036428</v>
      </c>
      <c r="Q50" s="75">
        <f t="shared" si="14"/>
        <v>0.91696385863536634</v>
      </c>
      <c r="R50" s="77">
        <f t="shared" si="15"/>
        <v>0.61610453034053758</v>
      </c>
      <c r="S50" s="5"/>
      <c r="T50" s="5"/>
      <c r="U50" s="5"/>
      <c r="V50" s="1"/>
      <c r="W50" s="1"/>
      <c r="X50" s="1"/>
      <c r="Y50" s="1"/>
      <c r="Z50" s="1"/>
    </row>
    <row r="51" ht="17.25">
      <c r="A51" s="99"/>
      <c r="B51" s="164"/>
      <c r="C51" s="67" t="s">
        <v>112</v>
      </c>
      <c r="D51" s="158" t="s">
        <v>113</v>
      </c>
      <c r="E51" s="102">
        <v>2440002.23</v>
      </c>
      <c r="F51" s="122">
        <f>4658773.5-65801.97</f>
        <v>4592971.5300000003</v>
      </c>
      <c r="G51" s="122">
        <v>2902329.2200000002</v>
      </c>
      <c r="H51" s="102">
        <v>366153.59999999998</v>
      </c>
      <c r="I51" s="102">
        <v>2543826.5899999999</v>
      </c>
      <c r="J51" s="102">
        <v>83517.520000000004</v>
      </c>
      <c r="K51" s="102">
        <f t="shared" si="16"/>
        <v>103824.35999999987</v>
      </c>
      <c r="L51" s="102">
        <f t="shared" si="9"/>
        <v>-358502.63000000035</v>
      </c>
      <c r="M51" s="102">
        <f t="shared" si="17"/>
        <v>-2049144.9400000004</v>
      </c>
      <c r="N51" s="102">
        <f t="shared" si="18"/>
        <v>-282636.07999999996</v>
      </c>
      <c r="O51" s="75">
        <f t="shared" si="12"/>
        <v>1.0425509283243564</v>
      </c>
      <c r="P51" s="75">
        <f t="shared" si="13"/>
        <v>0.22809422056754328</v>
      </c>
      <c r="Q51" s="75">
        <f t="shared" si="14"/>
        <v>0.87647761407301672</v>
      </c>
      <c r="R51" s="77">
        <f t="shared" si="15"/>
        <v>0.55385202659856236</v>
      </c>
      <c r="S51" s="5"/>
      <c r="T51" s="5"/>
      <c r="U51" s="5"/>
      <c r="V51" s="1"/>
      <c r="W51" s="1"/>
      <c r="X51" s="1"/>
      <c r="Y51" s="1"/>
      <c r="Z51" s="1"/>
    </row>
    <row r="52" s="1" customFormat="1" ht="17.25">
      <c r="A52" s="99"/>
      <c r="B52" s="164"/>
      <c r="C52" s="67"/>
      <c r="D52" s="165" t="s">
        <v>114</v>
      </c>
      <c r="E52" s="166">
        <f>E49+E50+E51</f>
        <v>3072566.9100000001</v>
      </c>
      <c r="F52" s="166">
        <f>F49+F50+F51</f>
        <v>5743276.3100000005</v>
      </c>
      <c r="G52" s="166">
        <f>G49+G50+G51</f>
        <v>3635373.7700000005</v>
      </c>
      <c r="H52" s="166">
        <f>H49+H50+H51</f>
        <v>432456.01000000001</v>
      </c>
      <c r="I52" s="166">
        <f>I49+I50+I51</f>
        <v>3229794.3499999996</v>
      </c>
      <c r="J52" s="166">
        <f>J49+J50+J51</f>
        <v>104164.68000000001</v>
      </c>
      <c r="K52" s="166">
        <f t="shared" si="16"/>
        <v>157227.43999999948</v>
      </c>
      <c r="L52" s="166">
        <f t="shared" si="9"/>
        <v>-405579.42000000086</v>
      </c>
      <c r="M52" s="166">
        <f t="shared" si="17"/>
        <v>-2513481.9600000009</v>
      </c>
      <c r="N52" s="166">
        <f t="shared" si="18"/>
        <v>-328291.33000000002</v>
      </c>
      <c r="O52" s="167">
        <f t="shared" si="12"/>
        <v>1.0511713640761691</v>
      </c>
      <c r="P52" s="167">
        <f t="shared" si="13"/>
        <v>0.24086768964084926</v>
      </c>
      <c r="Q52" s="167">
        <f t="shared" si="14"/>
        <v>0.8884352901077347</v>
      </c>
      <c r="R52" s="168">
        <f t="shared" si="15"/>
        <v>0.56236095490937632</v>
      </c>
      <c r="S52" s="5"/>
      <c r="T52" s="5"/>
      <c r="U52" s="5"/>
      <c r="V52" s="1"/>
      <c r="W52" s="1"/>
      <c r="X52" s="1"/>
      <c r="Y52" s="1"/>
      <c r="Z52" s="1"/>
    </row>
    <row r="53" ht="34.5">
      <c r="A53" s="161"/>
      <c r="B53" s="164"/>
      <c r="C53" s="169" t="s">
        <v>115</v>
      </c>
      <c r="D53" s="170" t="s">
        <v>116</v>
      </c>
      <c r="E53" s="102">
        <v>1752.02</v>
      </c>
      <c r="F53" s="56">
        <v>2266.5999999999999</v>
      </c>
      <c r="G53" s="56">
        <v>1460</v>
      </c>
      <c r="H53" s="103">
        <v>180</v>
      </c>
      <c r="I53" s="102">
        <v>1459.04</v>
      </c>
      <c r="J53" s="103">
        <v>201.07999999999998</v>
      </c>
      <c r="K53" s="171">
        <f t="shared" si="16"/>
        <v>-292.98000000000002</v>
      </c>
      <c r="L53" s="171">
        <f t="shared" si="9"/>
        <v>-0.96000000000003638</v>
      </c>
      <c r="M53" s="171">
        <f t="shared" si="17"/>
        <v>-807.55999999999995</v>
      </c>
      <c r="N53" s="102">
        <f t="shared" si="18"/>
        <v>21.079999999999984</v>
      </c>
      <c r="O53" s="85">
        <f t="shared" si="12"/>
        <v>0.83277588155386351</v>
      </c>
      <c r="P53" s="85">
        <f t="shared" si="13"/>
        <v>1.1171111111111109</v>
      </c>
      <c r="Q53" s="85">
        <f t="shared" si="14"/>
        <v>0.99934246575342467</v>
      </c>
      <c r="R53" s="86">
        <f t="shared" si="15"/>
        <v>0.64371305038383486</v>
      </c>
      <c r="S53" s="5"/>
      <c r="T53" s="5"/>
      <c r="U53" s="5"/>
      <c r="V53" s="1"/>
      <c r="W53" s="1"/>
      <c r="X53" s="1"/>
      <c r="Y53" s="1"/>
      <c r="Z53" s="1"/>
    </row>
    <row r="54" s="1" customFormat="1" ht="17.25">
      <c r="A54" s="12"/>
      <c r="B54" s="164"/>
      <c r="C54" s="78" t="s">
        <v>117</v>
      </c>
      <c r="D54" s="135" t="s">
        <v>118</v>
      </c>
      <c r="E54" s="102">
        <v>238.18000000000001</v>
      </c>
      <c r="F54" s="102">
        <v>11763.299999999999</v>
      </c>
      <c r="G54" s="102">
        <v>11763.299999999999</v>
      </c>
      <c r="H54" s="102">
        <v>0</v>
      </c>
      <c r="I54" s="102">
        <v>21048.220000000001</v>
      </c>
      <c r="J54" s="102">
        <v>0</v>
      </c>
      <c r="K54" s="102">
        <f t="shared" si="16"/>
        <v>20810.040000000001</v>
      </c>
      <c r="L54" s="102">
        <f t="shared" si="9"/>
        <v>9284.9200000000019</v>
      </c>
      <c r="M54" s="102">
        <f t="shared" si="17"/>
        <v>9284.9200000000019</v>
      </c>
      <c r="N54" s="102">
        <f t="shared" si="18"/>
        <v>0</v>
      </c>
      <c r="O54" s="75">
        <f t="shared" si="12"/>
        <v>88.371063901251162</v>
      </c>
      <c r="P54" s="75" t="str">
        <f t="shared" si="13"/>
        <v/>
      </c>
      <c r="Q54" s="75">
        <f t="shared" si="14"/>
        <v>1.7893125228464803</v>
      </c>
      <c r="R54" s="77">
        <f t="shared" si="15"/>
        <v>1.7893125228464803</v>
      </c>
      <c r="S54" s="5"/>
      <c r="T54" s="5"/>
      <c r="U54" s="5"/>
      <c r="V54" s="1"/>
      <c r="W54" s="1"/>
      <c r="X54" s="1"/>
      <c r="Y54" s="1"/>
      <c r="Z54" s="1"/>
    </row>
    <row r="55" ht="17.25">
      <c r="A55" s="172"/>
      <c r="B55" s="164"/>
      <c r="C55" s="173" t="s">
        <v>119</v>
      </c>
      <c r="D55" s="135" t="s">
        <v>103</v>
      </c>
      <c r="E55" s="102">
        <v>28146.48</v>
      </c>
      <c r="F55" s="58">
        <v>151922.42999999999</v>
      </c>
      <c r="G55" s="58">
        <v>94365</v>
      </c>
      <c r="H55" s="122">
        <v>12693</v>
      </c>
      <c r="I55" s="122">
        <v>70638.739999999991</v>
      </c>
      <c r="J55" s="122">
        <v>1307.8700000000001</v>
      </c>
      <c r="K55" s="59">
        <f t="shared" si="16"/>
        <v>42492.259999999995</v>
      </c>
      <c r="L55" s="59">
        <f t="shared" si="9"/>
        <v>-23726.260000000009</v>
      </c>
      <c r="M55" s="59">
        <f t="shared" si="17"/>
        <v>-81283.690000000002</v>
      </c>
      <c r="N55" s="122">
        <f t="shared" si="18"/>
        <v>-11385.129999999999</v>
      </c>
      <c r="O55" s="174">
        <f t="shared" si="12"/>
        <v>2.5096829159454392</v>
      </c>
      <c r="P55" s="174">
        <f t="shared" si="13"/>
        <v>0.1030386827385173</v>
      </c>
      <c r="Q55" s="174">
        <f t="shared" si="14"/>
        <v>0.7485692788639855</v>
      </c>
      <c r="R55" s="175">
        <f t="shared" si="15"/>
        <v>0.46496583815832854</v>
      </c>
      <c r="S55" s="5"/>
      <c r="T55" s="5"/>
      <c r="U55" s="5"/>
      <c r="V55" s="1"/>
      <c r="W55" s="1"/>
      <c r="X55" s="1"/>
      <c r="Y55" s="1"/>
      <c r="Z55" s="1"/>
    </row>
    <row r="56" s="106" customFormat="1" ht="17.25">
      <c r="A56" s="107"/>
      <c r="B56" s="176"/>
      <c r="C56" s="109"/>
      <c r="D56" s="110" t="s">
        <v>56</v>
      </c>
      <c r="E56" s="111">
        <f>E52+E53+E54+E55</f>
        <v>3102703.5900000003</v>
      </c>
      <c r="F56" s="111">
        <f>F52+F53+F54+F55</f>
        <v>5909228.6399999997</v>
      </c>
      <c r="G56" s="111">
        <f>G52+G53+G54+G55</f>
        <v>3742962.0700000003</v>
      </c>
      <c r="H56" s="111">
        <f>H52+H53+H54+H55</f>
        <v>445329.01000000001</v>
      </c>
      <c r="I56" s="111">
        <f>I52+I53+I54+I55</f>
        <v>3322940.3499999996</v>
      </c>
      <c r="J56" s="111">
        <f>J52+J53+J54+J55</f>
        <v>105673.63</v>
      </c>
      <c r="K56" s="111">
        <f t="shared" si="16"/>
        <v>220236.75999999931</v>
      </c>
      <c r="L56" s="130">
        <f t="shared" si="9"/>
        <v>-420021.72000000067</v>
      </c>
      <c r="M56" s="111">
        <f t="shared" si="17"/>
        <v>-2586288.29</v>
      </c>
      <c r="N56" s="130">
        <f t="shared" si="18"/>
        <v>-339655.38</v>
      </c>
      <c r="O56" s="113">
        <f t="shared" si="12"/>
        <v>1.0709822107112716</v>
      </c>
      <c r="P56" s="131">
        <f t="shared" si="13"/>
        <v>0.23729338899345453</v>
      </c>
      <c r="Q56" s="113">
        <f t="shared" si="14"/>
        <v>0.8877836023596144</v>
      </c>
      <c r="R56" s="114">
        <f t="shared" si="15"/>
        <v>0.56233064456277326</v>
      </c>
      <c r="S56" s="115"/>
      <c r="T56" s="115"/>
      <c r="U56" s="115"/>
      <c r="V56" s="106"/>
      <c r="W56" s="106"/>
      <c r="X56" s="106"/>
      <c r="Y56" s="106"/>
      <c r="Z56" s="106"/>
    </row>
    <row r="57" ht="17.25">
      <c r="A57" s="116">
        <v>991</v>
      </c>
      <c r="B57" s="94" t="s">
        <v>120</v>
      </c>
      <c r="C57" s="117" t="s">
        <v>69</v>
      </c>
      <c r="D57" s="118" t="s">
        <v>121</v>
      </c>
      <c r="E57" s="97">
        <v>40525.629999999997</v>
      </c>
      <c r="F57" s="97">
        <v>80120.600000000006</v>
      </c>
      <c r="G57" s="97">
        <v>52120.599999999999</v>
      </c>
      <c r="H57" s="60">
        <v>7000</v>
      </c>
      <c r="I57" s="98">
        <v>50739.43</v>
      </c>
      <c r="J57" s="60">
        <v>1140.1299999999999</v>
      </c>
      <c r="K57" s="60">
        <f t="shared" si="16"/>
        <v>10213.800000000003</v>
      </c>
      <c r="L57" s="60">
        <f t="shared" si="9"/>
        <v>-1381.1699999999983</v>
      </c>
      <c r="M57" s="59">
        <f t="shared" si="17"/>
        <v>-29381.170000000006</v>
      </c>
      <c r="N57" s="59">
        <f t="shared" si="18"/>
        <v>-5859.8699999999999</v>
      </c>
      <c r="O57" s="63">
        <f t="shared" si="12"/>
        <v>1.2520330960925223</v>
      </c>
      <c r="P57" s="62">
        <f t="shared" si="13"/>
        <v>0.16287571428571426</v>
      </c>
      <c r="Q57" s="119">
        <f t="shared" si="14"/>
        <v>0.97350049692444063</v>
      </c>
      <c r="R57" s="64">
        <f t="shared" si="15"/>
        <v>0.63328819304897865</v>
      </c>
      <c r="S57" s="5"/>
      <c r="T57" s="5"/>
      <c r="U57" s="5"/>
      <c r="V57" s="1"/>
      <c r="W57" s="1"/>
      <c r="X57" s="1"/>
      <c r="Y57" s="1"/>
      <c r="Z57" s="1"/>
    </row>
    <row r="58" ht="17.25">
      <c r="A58" s="120"/>
      <c r="B58" s="100"/>
      <c r="C58" s="67" t="s">
        <v>122</v>
      </c>
      <c r="D58" s="101" t="s">
        <v>123</v>
      </c>
      <c r="E58" s="102">
        <v>2923.3400000000001</v>
      </c>
      <c r="F58" s="122">
        <v>0</v>
      </c>
      <c r="G58" s="122">
        <v>0</v>
      </c>
      <c r="H58" s="103">
        <v>0</v>
      </c>
      <c r="I58" s="102">
        <v>5149</v>
      </c>
      <c r="J58" s="102">
        <v>0</v>
      </c>
      <c r="K58" s="103">
        <f t="shared" si="16"/>
        <v>2225.6599999999999</v>
      </c>
      <c r="L58" s="102">
        <f t="shared" si="9"/>
        <v>5149</v>
      </c>
      <c r="M58" s="102">
        <f t="shared" si="17"/>
        <v>5149</v>
      </c>
      <c r="N58" s="102">
        <f t="shared" si="18"/>
        <v>0</v>
      </c>
      <c r="O58" s="75">
        <f t="shared" si="12"/>
        <v>1.7613414792668658</v>
      </c>
      <c r="P58" s="74" t="str">
        <f t="shared" si="13"/>
        <v/>
      </c>
      <c r="Q58" s="75" t="str">
        <f t="shared" si="14"/>
        <v/>
      </c>
      <c r="R58" s="77" t="str">
        <f t="shared" si="15"/>
        <v/>
      </c>
      <c r="S58" s="5"/>
      <c r="T58" s="5"/>
      <c r="U58" s="5"/>
      <c r="V58" s="1"/>
      <c r="W58" s="1"/>
      <c r="X58" s="1"/>
      <c r="Y58" s="1"/>
      <c r="Z58" s="1"/>
    </row>
    <row r="59" s="106" customFormat="1" ht="17.25">
      <c r="A59" s="177"/>
      <c r="B59" s="108"/>
      <c r="C59" s="128"/>
      <c r="D59" s="129" t="s">
        <v>56</v>
      </c>
      <c r="E59" s="111">
        <f>SUM(E57:E58)</f>
        <v>43448.970000000001</v>
      </c>
      <c r="F59" s="111">
        <f>SUM(F57:F58)</f>
        <v>80120.600000000006</v>
      </c>
      <c r="G59" s="111">
        <f>SUM(G57:G58)</f>
        <v>52120.599999999999</v>
      </c>
      <c r="H59" s="111">
        <f>SUM(H57:H58)</f>
        <v>7000</v>
      </c>
      <c r="I59" s="111">
        <f>SUM(I57:I58)</f>
        <v>55888.43</v>
      </c>
      <c r="J59" s="111">
        <f>SUM(J57:J58)</f>
        <v>1140.1299999999999</v>
      </c>
      <c r="K59" s="111">
        <f t="shared" si="16"/>
        <v>12439.459999999999</v>
      </c>
      <c r="L59" s="130">
        <f t="shared" si="9"/>
        <v>3767.8300000000017</v>
      </c>
      <c r="M59" s="111">
        <f t="shared" si="17"/>
        <v>-24232.170000000006</v>
      </c>
      <c r="N59" s="112">
        <f t="shared" si="18"/>
        <v>-5859.8699999999999</v>
      </c>
      <c r="O59" s="131">
        <f t="shared" si="12"/>
        <v>1.2863004577553852</v>
      </c>
      <c r="P59" s="113">
        <f t="shared" si="13"/>
        <v>0.16287571428571426</v>
      </c>
      <c r="Q59" s="132">
        <f t="shared" si="14"/>
        <v>1.0722906106222876</v>
      </c>
      <c r="R59" s="114">
        <f t="shared" si="15"/>
        <v>0.69755381262746408</v>
      </c>
      <c r="S59" s="115"/>
      <c r="T59" s="115"/>
      <c r="U59" s="115"/>
      <c r="V59" s="106"/>
      <c r="W59" s="106"/>
      <c r="X59" s="106"/>
      <c r="Y59" s="106"/>
      <c r="Z59" s="106"/>
    </row>
    <row r="60" ht="17.25">
      <c r="A60" s="161" t="s">
        <v>124</v>
      </c>
      <c r="B60" s="94" t="s">
        <v>125</v>
      </c>
      <c r="C60" s="133" t="s">
        <v>126</v>
      </c>
      <c r="D60" s="134" t="s">
        <v>127</v>
      </c>
      <c r="E60" s="60">
        <v>48805.360000000001</v>
      </c>
      <c r="F60" s="97">
        <v>3503</v>
      </c>
      <c r="G60" s="97">
        <v>2344.0999999999999</v>
      </c>
      <c r="H60" s="61">
        <v>386.30000000000001</v>
      </c>
      <c r="I60" s="60">
        <v>2047.8600000000001</v>
      </c>
      <c r="J60" s="61">
        <v>168.65000000000001</v>
      </c>
      <c r="K60" s="60">
        <f t="shared" si="16"/>
        <v>-46757.5</v>
      </c>
      <c r="L60" s="60">
        <f t="shared" si="9"/>
        <v>-296.23999999999978</v>
      </c>
      <c r="M60" s="61">
        <f t="shared" si="17"/>
        <v>-1455.1399999999999</v>
      </c>
      <c r="N60" s="60">
        <f t="shared" si="18"/>
        <v>-217.65000000000001</v>
      </c>
      <c r="O60" s="62">
        <f t="shared" si="12"/>
        <v>0.041959735570027558</v>
      </c>
      <c r="P60" s="63">
        <f t="shared" si="13"/>
        <v>0.43657778928294072</v>
      </c>
      <c r="Q60" s="62">
        <f t="shared" si="14"/>
        <v>0.87362313894458432</v>
      </c>
      <c r="R60" s="64">
        <f t="shared" si="15"/>
        <v>0.58460176991150448</v>
      </c>
      <c r="S60" s="5"/>
      <c r="T60" s="5"/>
      <c r="U60" s="5"/>
      <c r="V60" s="1"/>
      <c r="W60" s="1"/>
      <c r="X60" s="1"/>
      <c r="Y60" s="1"/>
      <c r="Z60" s="1"/>
    </row>
    <row r="61" ht="17.25">
      <c r="A61" s="99"/>
      <c r="B61" s="100"/>
      <c r="C61" s="78" t="s">
        <v>104</v>
      </c>
      <c r="D61" s="158" t="s">
        <v>128</v>
      </c>
      <c r="E61" s="102">
        <v>65165.190000000002</v>
      </c>
      <c r="F61" s="122">
        <v>62240.599999999999</v>
      </c>
      <c r="G61" s="122">
        <v>19100</v>
      </c>
      <c r="H61" s="105">
        <v>3000</v>
      </c>
      <c r="I61" s="102">
        <v>94944.539999999994</v>
      </c>
      <c r="J61" s="105">
        <v>0</v>
      </c>
      <c r="K61" s="102">
        <f t="shared" si="16"/>
        <v>29779.349999999991</v>
      </c>
      <c r="L61" s="102">
        <f t="shared" si="9"/>
        <v>75844.539999999994</v>
      </c>
      <c r="M61" s="102">
        <f t="shared" si="17"/>
        <v>32703.939999999995</v>
      </c>
      <c r="N61" s="102">
        <f t="shared" si="18"/>
        <v>-3000</v>
      </c>
      <c r="O61" s="75">
        <f t="shared" si="12"/>
        <v>1.4569824779149725</v>
      </c>
      <c r="P61" s="75">
        <f t="shared" si="13"/>
        <v>0</v>
      </c>
      <c r="Q61" s="76">
        <f t="shared" si="14"/>
        <v>4.9709183246073296</v>
      </c>
      <c r="R61" s="77">
        <f t="shared" si="15"/>
        <v>1.5254438421223444</v>
      </c>
      <c r="S61" s="5"/>
      <c r="T61" s="5"/>
      <c r="U61" s="5"/>
      <c r="V61" s="1"/>
      <c r="W61" s="1"/>
      <c r="X61" s="1"/>
      <c r="Y61" s="1"/>
      <c r="Z61" s="1"/>
    </row>
    <row r="62" s="106" customFormat="1" ht="17.25">
      <c r="A62" s="107"/>
      <c r="B62" s="108"/>
      <c r="C62" s="109"/>
      <c r="D62" s="110" t="s">
        <v>56</v>
      </c>
      <c r="E62" s="111">
        <f>SUM(E60:E61)</f>
        <v>113970.55</v>
      </c>
      <c r="F62" s="111">
        <f>SUM(F60:F61)</f>
        <v>65743.600000000006</v>
      </c>
      <c r="G62" s="111">
        <f>SUM(G60:G61)</f>
        <v>21444.099999999999</v>
      </c>
      <c r="H62" s="111">
        <f>SUM(H60:H61)</f>
        <v>3386.3000000000002</v>
      </c>
      <c r="I62" s="111">
        <f>SUM(I60:I61)</f>
        <v>96992.399999999994</v>
      </c>
      <c r="J62" s="111">
        <f>SUM(J60:J61)</f>
        <v>168.65000000000001</v>
      </c>
      <c r="K62" s="111">
        <f t="shared" si="16"/>
        <v>-16978.150000000009</v>
      </c>
      <c r="L62" s="130">
        <f t="shared" si="9"/>
        <v>75548.299999999988</v>
      </c>
      <c r="M62" s="111">
        <f t="shared" si="17"/>
        <v>31248.799999999988</v>
      </c>
      <c r="N62" s="111">
        <f t="shared" si="18"/>
        <v>-3217.6500000000001</v>
      </c>
      <c r="O62" s="131">
        <f t="shared" si="12"/>
        <v>0.85103037582954533</v>
      </c>
      <c r="P62" s="113">
        <f t="shared" si="13"/>
        <v>0.049803620470720254</v>
      </c>
      <c r="Q62" s="113">
        <f t="shared" si="14"/>
        <v>4.5230343078049442</v>
      </c>
      <c r="R62" s="114">
        <f t="shared" si="15"/>
        <v>1.4753131863785978</v>
      </c>
      <c r="S62" s="115"/>
      <c r="T62" s="115"/>
      <c r="U62" s="115"/>
      <c r="V62" s="106"/>
      <c r="W62" s="106"/>
      <c r="X62" s="106"/>
      <c r="Y62" s="106"/>
      <c r="Z62" s="106"/>
    </row>
    <row r="63" ht="17.25">
      <c r="A63" s="123"/>
      <c r="B63" s="94" t="s">
        <v>129</v>
      </c>
      <c r="C63" s="54" t="s">
        <v>130</v>
      </c>
      <c r="D63" s="178" t="s">
        <v>131</v>
      </c>
      <c r="E63" s="97">
        <v>2464.9299999999998</v>
      </c>
      <c r="F63" s="97">
        <v>793.5</v>
      </c>
      <c r="G63" s="97">
        <v>181.19999999999999</v>
      </c>
      <c r="H63" s="59">
        <v>7</v>
      </c>
      <c r="I63" s="98">
        <v>2182.4200000000001</v>
      </c>
      <c r="J63" s="59">
        <v>5.7999999999999998</v>
      </c>
      <c r="K63" s="60">
        <f t="shared" si="16"/>
        <v>-282.50999999999976</v>
      </c>
      <c r="L63" s="60">
        <f t="shared" si="9"/>
        <v>2001.22</v>
      </c>
      <c r="M63" s="59">
        <f t="shared" si="17"/>
        <v>1388.9200000000001</v>
      </c>
      <c r="N63" s="98">
        <f t="shared" si="18"/>
        <v>-1.2000000000000002</v>
      </c>
      <c r="O63" s="62">
        <f t="shared" si="12"/>
        <v>0.88538822603481648</v>
      </c>
      <c r="P63" s="63">
        <f t="shared" si="13"/>
        <v>0.82857142857142851</v>
      </c>
      <c r="Q63" s="62">
        <f t="shared" si="14"/>
        <v>12.044260485651215</v>
      </c>
      <c r="R63" s="64">
        <f t="shared" si="15"/>
        <v>2.7503717706364208</v>
      </c>
      <c r="S63" s="5"/>
      <c r="T63" s="5"/>
      <c r="U63" s="5"/>
      <c r="V63" s="1"/>
      <c r="W63" s="1"/>
      <c r="X63" s="1"/>
      <c r="Y63" s="1"/>
      <c r="Z63" s="1"/>
    </row>
    <row r="64" ht="17.25">
      <c r="A64" s="120"/>
      <c r="B64" s="100"/>
      <c r="C64" s="67" t="s">
        <v>132</v>
      </c>
      <c r="D64" s="104" t="s">
        <v>133</v>
      </c>
      <c r="E64" s="102">
        <v>1678.0899999999999</v>
      </c>
      <c r="F64" s="179">
        <v>44.399999999999999</v>
      </c>
      <c r="G64" s="179">
        <v>44.399999999999999</v>
      </c>
      <c r="H64" s="180">
        <v>0</v>
      </c>
      <c r="I64" s="179">
        <v>1817.0699999999999</v>
      </c>
      <c r="J64" s="180">
        <v>0</v>
      </c>
      <c r="K64" s="102">
        <f t="shared" si="16"/>
        <v>138.98000000000002</v>
      </c>
      <c r="L64" s="102">
        <f t="shared" si="9"/>
        <v>1772.6699999999998</v>
      </c>
      <c r="M64" s="102">
        <f t="shared" si="17"/>
        <v>1772.6699999999998</v>
      </c>
      <c r="N64" s="179">
        <f t="shared" si="18"/>
        <v>0</v>
      </c>
      <c r="O64" s="75">
        <f t="shared" si="12"/>
        <v>1.0828203493257216</v>
      </c>
      <c r="P64" s="75" t="str">
        <f t="shared" si="13"/>
        <v/>
      </c>
      <c r="Q64" s="76">
        <f t="shared" si="14"/>
        <v>40.924999999999997</v>
      </c>
      <c r="R64" s="181">
        <f t="shared" si="15"/>
        <v>40.924999999999997</v>
      </c>
      <c r="S64" s="5"/>
      <c r="T64" s="5"/>
      <c r="U64" s="5"/>
      <c r="V64" s="1"/>
      <c r="W64" s="1"/>
      <c r="X64" s="1"/>
      <c r="Y64" s="1"/>
      <c r="Z64" s="1"/>
    </row>
    <row r="65" ht="13.5">
      <c r="A65" s="120"/>
      <c r="B65" s="100"/>
      <c r="C65" s="78" t="s">
        <v>52</v>
      </c>
      <c r="D65" s="104" t="s">
        <v>53</v>
      </c>
      <c r="E65" s="102">
        <v>0</v>
      </c>
      <c r="F65" s="102">
        <v>445</v>
      </c>
      <c r="G65" s="102">
        <v>445</v>
      </c>
      <c r="H65" s="102">
        <v>0</v>
      </c>
      <c r="I65" s="102">
        <v>10906</v>
      </c>
      <c r="J65" s="102">
        <v>0</v>
      </c>
      <c r="K65" s="102">
        <f t="shared" si="16"/>
        <v>10906</v>
      </c>
      <c r="L65" s="102">
        <f t="shared" si="9"/>
        <v>10461</v>
      </c>
      <c r="M65" s="103">
        <f t="shared" si="17"/>
        <v>10461</v>
      </c>
      <c r="N65" s="102">
        <f t="shared" si="18"/>
        <v>0</v>
      </c>
      <c r="O65" s="74" t="str">
        <f t="shared" si="12"/>
        <v/>
      </c>
      <c r="P65" s="75" t="str">
        <f t="shared" si="13"/>
        <v/>
      </c>
      <c r="Q65" s="75">
        <f t="shared" si="14"/>
        <v>24.507865168539325</v>
      </c>
      <c r="R65" s="77">
        <f t="shared" si="15"/>
        <v>24.507865168539325</v>
      </c>
      <c r="S65" s="5"/>
      <c r="T65" s="5"/>
      <c r="U65" s="5"/>
      <c r="V65" s="1"/>
      <c r="W65" s="1"/>
      <c r="X65" s="1"/>
      <c r="Y65" s="1"/>
      <c r="Z65" s="1"/>
    </row>
    <row r="66" ht="13.5">
      <c r="A66" s="120"/>
      <c r="B66" s="100"/>
      <c r="C66" s="67" t="s">
        <v>134</v>
      </c>
      <c r="D66" s="104" t="s">
        <v>135</v>
      </c>
      <c r="E66" s="103">
        <v>52216.269999999997</v>
      </c>
      <c r="F66" s="102">
        <v>1508.599999999255</v>
      </c>
      <c r="G66" s="102">
        <v>809</v>
      </c>
      <c r="H66" s="102">
        <v>145</v>
      </c>
      <c r="I66" s="103">
        <v>186859.54999999999</v>
      </c>
      <c r="J66" s="102">
        <v>22204.890000000003</v>
      </c>
      <c r="K66" s="102">
        <f t="shared" si="16"/>
        <v>134643.28</v>
      </c>
      <c r="L66" s="102">
        <f t="shared" si="9"/>
        <v>186050.54999999999</v>
      </c>
      <c r="M66" s="102">
        <f t="shared" si="17"/>
        <v>185350.95000000074</v>
      </c>
      <c r="N66" s="103">
        <f t="shared" si="18"/>
        <v>22059.890000000003</v>
      </c>
      <c r="O66" s="75">
        <f t="shared" si="12"/>
        <v>3.5785694765252285</v>
      </c>
      <c r="P66" s="182">
        <f t="shared" si="13"/>
        <v>153.13717241379314</v>
      </c>
      <c r="Q66" s="183">
        <f t="shared" si="14"/>
        <v>230.97595797280593</v>
      </c>
      <c r="R66" s="181">
        <f t="shared" si="15"/>
        <v>123.86288611964223</v>
      </c>
      <c r="S66" s="5"/>
      <c r="T66" s="5"/>
      <c r="U66" s="5"/>
      <c r="V66" s="1"/>
      <c r="W66" s="1"/>
      <c r="X66" s="1"/>
      <c r="Y66" s="1"/>
      <c r="Z66" s="1"/>
    </row>
    <row r="67" ht="13.5">
      <c r="A67" s="120"/>
      <c r="B67" s="100"/>
      <c r="C67" s="78" t="s">
        <v>102</v>
      </c>
      <c r="D67" s="104" t="s">
        <v>103</v>
      </c>
      <c r="E67" s="102">
        <v>89498.710000000006</v>
      </c>
      <c r="F67" s="102">
        <v>113657.8</v>
      </c>
      <c r="G67" s="102">
        <v>77011.199999999997</v>
      </c>
      <c r="H67" s="102">
        <v>8178.3999999999996</v>
      </c>
      <c r="I67" s="102">
        <v>83393.26999999999</v>
      </c>
      <c r="J67" s="102">
        <v>3745.5999999999999</v>
      </c>
      <c r="K67" s="102">
        <f t="shared" si="16"/>
        <v>-6105.4400000000169</v>
      </c>
      <c r="L67" s="102">
        <f t="shared" si="9"/>
        <v>6382.0699999999924</v>
      </c>
      <c r="M67" s="103">
        <f t="shared" si="17"/>
        <v>-30264.530000000013</v>
      </c>
      <c r="N67" s="102">
        <f t="shared" si="18"/>
        <v>-4432.7999999999993</v>
      </c>
      <c r="O67" s="74">
        <f t="shared" si="12"/>
        <v>0.93178181003949645</v>
      </c>
      <c r="P67" s="75">
        <f t="shared" si="13"/>
        <v>0.45798689230167272</v>
      </c>
      <c r="Q67" s="76">
        <f t="shared" si="14"/>
        <v>1.0828719718690267</v>
      </c>
      <c r="R67" s="77">
        <f t="shared" si="15"/>
        <v>0.73372236661276202</v>
      </c>
      <c r="S67" s="5"/>
      <c r="T67" s="5"/>
      <c r="U67" s="5"/>
      <c r="V67" s="1"/>
      <c r="W67" s="1"/>
      <c r="X67" s="1"/>
      <c r="Y67" s="1"/>
      <c r="Z67" s="1"/>
    </row>
    <row r="68" ht="13.5">
      <c r="A68" s="120"/>
      <c r="B68" s="100"/>
      <c r="C68" s="67" t="s">
        <v>136</v>
      </c>
      <c r="D68" s="104" t="s">
        <v>137</v>
      </c>
      <c r="E68" s="102">
        <v>530.33000000000004</v>
      </c>
      <c r="F68" s="122">
        <v>0</v>
      </c>
      <c r="G68" s="122">
        <v>0</v>
      </c>
      <c r="H68" s="103">
        <v>0</v>
      </c>
      <c r="I68" s="184">
        <f>4.26+0.25</f>
        <v>4.5099999999999998</v>
      </c>
      <c r="J68" s="185">
        <f>28.99+0.25</f>
        <v>29.239999999999998</v>
      </c>
      <c r="K68" s="102">
        <f t="shared" si="16"/>
        <v>-525.82000000000005</v>
      </c>
      <c r="L68" s="102">
        <f t="shared" si="9"/>
        <v>4.5099999999999998</v>
      </c>
      <c r="M68" s="102">
        <f t="shared" si="17"/>
        <v>4.5099999999999998</v>
      </c>
      <c r="N68" s="102">
        <f t="shared" si="18"/>
        <v>29.239999999999998</v>
      </c>
      <c r="O68" s="75">
        <f t="shared" si="12"/>
        <v>0.0085041389323628671</v>
      </c>
      <c r="P68" s="74" t="str">
        <f t="shared" si="13"/>
        <v/>
      </c>
      <c r="Q68" s="75" t="str">
        <f t="shared" si="14"/>
        <v/>
      </c>
      <c r="R68" s="77" t="str">
        <f t="shared" si="15"/>
        <v/>
      </c>
      <c r="S68" s="5"/>
      <c r="T68" s="5"/>
      <c r="U68" s="5"/>
      <c r="V68" s="1"/>
      <c r="W68" s="1"/>
      <c r="X68" s="1"/>
      <c r="Y68" s="1"/>
      <c r="Z68" s="1"/>
    </row>
    <row r="69" ht="13.5">
      <c r="A69" s="120"/>
      <c r="B69" s="100"/>
      <c r="C69" s="78" t="s">
        <v>138</v>
      </c>
      <c r="D69" s="104" t="s">
        <v>139</v>
      </c>
      <c r="E69" s="102">
        <v>40311.889999999999</v>
      </c>
      <c r="F69" s="102">
        <v>0</v>
      </c>
      <c r="G69" s="102">
        <v>0</v>
      </c>
      <c r="H69" s="102">
        <v>0</v>
      </c>
      <c r="I69" s="103">
        <v>557.93999999999994</v>
      </c>
      <c r="J69" s="102">
        <v>44.369999999999997</v>
      </c>
      <c r="K69" s="102">
        <f t="shared" si="16"/>
        <v>-39753.949999999997</v>
      </c>
      <c r="L69" s="102">
        <f t="shared" si="9"/>
        <v>557.93999999999994</v>
      </c>
      <c r="M69" s="102">
        <f t="shared" si="17"/>
        <v>557.93999999999994</v>
      </c>
      <c r="N69" s="102">
        <f t="shared" si="18"/>
        <v>44.369999999999997</v>
      </c>
      <c r="O69" s="74">
        <f t="shared" si="12"/>
        <v>0.013840581525698744</v>
      </c>
      <c r="P69" s="75" t="str">
        <f t="shared" si="13"/>
        <v/>
      </c>
      <c r="Q69" s="76" t="str">
        <f t="shared" si="14"/>
        <v/>
      </c>
      <c r="R69" s="77" t="str">
        <f t="shared" si="15"/>
        <v/>
      </c>
      <c r="S69" s="5"/>
      <c r="T69" s="5"/>
      <c r="U69" s="5"/>
      <c r="V69" s="1"/>
      <c r="W69" s="1"/>
      <c r="X69" s="1"/>
      <c r="Y69" s="1"/>
      <c r="Z69" s="1"/>
    </row>
    <row r="70" ht="13.5">
      <c r="A70" s="120"/>
      <c r="B70" s="100"/>
      <c r="C70" s="67" t="s">
        <v>140</v>
      </c>
      <c r="D70" s="101" t="s">
        <v>141</v>
      </c>
      <c r="E70" s="102">
        <v>5852.1199999999999</v>
      </c>
      <c r="F70" s="122">
        <v>0</v>
      </c>
      <c r="G70" s="122">
        <v>0</v>
      </c>
      <c r="H70" s="103">
        <v>0</v>
      </c>
      <c r="I70" s="102">
        <v>2556.73</v>
      </c>
      <c r="J70" s="103">
        <v>0</v>
      </c>
      <c r="K70" s="102">
        <f t="shared" si="16"/>
        <v>-3295.3899999999999</v>
      </c>
      <c r="L70" s="103">
        <f t="shared" si="9"/>
        <v>2556.73</v>
      </c>
      <c r="M70" s="102">
        <f t="shared" si="17"/>
        <v>2556.73</v>
      </c>
      <c r="N70" s="102">
        <f t="shared" si="18"/>
        <v>0</v>
      </c>
      <c r="O70" s="75">
        <f t="shared" si="12"/>
        <v>0.43688953746676418</v>
      </c>
      <c r="P70" s="74" t="str">
        <f t="shared" si="13"/>
        <v/>
      </c>
      <c r="Q70" s="75" t="str">
        <f t="shared" si="14"/>
        <v/>
      </c>
      <c r="R70" s="77" t="str">
        <f t="shared" si="15"/>
        <v/>
      </c>
      <c r="S70" s="5"/>
      <c r="T70" s="5"/>
      <c r="U70" s="5"/>
      <c r="V70" s="1"/>
      <c r="W70" s="1"/>
      <c r="X70" s="1"/>
      <c r="Y70" s="1"/>
      <c r="Z70" s="1"/>
    </row>
    <row r="71" s="106" customFormat="1" ht="13.5">
      <c r="A71" s="177"/>
      <c r="B71" s="186"/>
      <c r="C71" s="187"/>
      <c r="D71" s="188" t="s">
        <v>142</v>
      </c>
      <c r="E71" s="112">
        <f>SUM(E63:E70)</f>
        <v>192552.33999999997</v>
      </c>
      <c r="F71" s="112">
        <f>SUM(F63:F70)</f>
        <v>116449.29999999926</v>
      </c>
      <c r="G71" s="112">
        <f>SUM(G63:G70)</f>
        <v>78490.800000000003</v>
      </c>
      <c r="H71" s="112">
        <f>SUM(H63:H70)</f>
        <v>8330.3999999999996</v>
      </c>
      <c r="I71" s="112">
        <f>SUM(I63:I70)</f>
        <v>288277.48999999993</v>
      </c>
      <c r="J71" s="112">
        <f>SUM(J63:J70)</f>
        <v>26029.900000000001</v>
      </c>
      <c r="K71" s="189">
        <f t="shared" si="16"/>
        <v>95725.149999999965</v>
      </c>
      <c r="L71" s="112">
        <f t="shared" si="9"/>
        <v>209786.68999999994</v>
      </c>
      <c r="M71" s="189">
        <f t="shared" si="17"/>
        <v>171828.19000000067</v>
      </c>
      <c r="N71" s="112">
        <f t="shared" si="18"/>
        <v>17699.5</v>
      </c>
      <c r="O71" s="147">
        <f t="shared" si="12"/>
        <v>1.4971383365167101</v>
      </c>
      <c r="P71" s="190">
        <f t="shared" si="13"/>
        <v>3.1246878901373285</v>
      </c>
      <c r="Q71" s="191">
        <f t="shared" si="14"/>
        <v>3.6727551509221454</v>
      </c>
      <c r="R71" s="192">
        <f t="shared" si="15"/>
        <v>2.4755622403913269</v>
      </c>
      <c r="S71" s="115"/>
      <c r="T71" s="115"/>
      <c r="U71" s="115"/>
      <c r="V71" s="106"/>
      <c r="W71" s="106"/>
      <c r="X71" s="106"/>
      <c r="Y71" s="106"/>
      <c r="Z71" s="106"/>
    </row>
    <row r="72" s="41" customFormat="1" ht="13.5">
      <c r="A72" s="193"/>
      <c r="B72" s="194" t="s">
        <v>143</v>
      </c>
      <c r="C72" s="195"/>
      <c r="D72" s="196"/>
      <c r="E72" s="91">
        <f>E5+E17</f>
        <v>18357576.559999999</v>
      </c>
      <c r="F72" s="91">
        <f>F5+F17</f>
        <v>37060119.939999998</v>
      </c>
      <c r="G72" s="91">
        <f>G5+G17</f>
        <v>21862709.57</v>
      </c>
      <c r="H72" s="91">
        <f>H5+H17</f>
        <v>2649517.0099999998</v>
      </c>
      <c r="I72" s="91">
        <f>I5+I17</f>
        <v>20009688.320000004</v>
      </c>
      <c r="J72" s="91">
        <f>J5+J17</f>
        <v>706244.59999999998</v>
      </c>
      <c r="K72" s="91">
        <f t="shared" si="16"/>
        <v>1652111.7600000054</v>
      </c>
      <c r="L72" s="91">
        <f t="shared" si="9"/>
        <v>-1853021.2499999963</v>
      </c>
      <c r="M72" s="91">
        <f t="shared" si="17"/>
        <v>-17050431.619999994</v>
      </c>
      <c r="N72" s="91">
        <f t="shared" si="18"/>
        <v>-1943272.4099999997</v>
      </c>
      <c r="O72" s="48">
        <f t="shared" si="12"/>
        <v>1.0899961797571829</v>
      </c>
      <c r="P72" s="47">
        <f t="shared" si="13"/>
        <v>0.26655597881970194</v>
      </c>
      <c r="Q72" s="48">
        <f t="shared" si="14"/>
        <v>0.91524283648067528</v>
      </c>
      <c r="R72" s="50">
        <f t="shared" si="15"/>
        <v>0.53992508260619532</v>
      </c>
      <c r="S72" s="51"/>
      <c r="T72" s="51"/>
      <c r="U72" s="51"/>
      <c r="V72" s="41"/>
      <c r="W72" s="41"/>
      <c r="X72" s="41"/>
      <c r="Y72" s="41"/>
      <c r="Z72" s="41"/>
    </row>
    <row r="73" s="41" customFormat="1" ht="13.5">
      <c r="A73" s="197"/>
      <c r="B73" s="198" t="s">
        <v>144</v>
      </c>
      <c r="C73" s="199"/>
      <c r="D73" s="200"/>
      <c r="E73" s="201">
        <f>SUM(E74:E82)</f>
        <v>15536024.279999997</v>
      </c>
      <c r="F73" s="201">
        <f>SUM(F74:F82)</f>
        <v>30597411.380000003</v>
      </c>
      <c r="G73" s="201">
        <f>SUM(G74:G82)</f>
        <v>17233317.509999998</v>
      </c>
      <c r="H73" s="201">
        <f>SUM(H74:H82)</f>
        <v>1361478.23</v>
      </c>
      <c r="I73" s="201">
        <f>SUM(I74:I82)</f>
        <v>16958839.080000002</v>
      </c>
      <c r="J73" s="201">
        <f>SUM(J74:J82)</f>
        <v>724056.79000000004</v>
      </c>
      <c r="K73" s="201">
        <f t="shared" si="16"/>
        <v>1422814.8000000045</v>
      </c>
      <c r="L73" s="201">
        <f t="shared" si="9"/>
        <v>-274478.42999999598</v>
      </c>
      <c r="M73" s="201">
        <f t="shared" si="17"/>
        <v>-13638572.300000001</v>
      </c>
      <c r="N73" s="202">
        <f t="shared" si="18"/>
        <v>-637421.43999999994</v>
      </c>
      <c r="O73" s="203">
        <f t="shared" si="12"/>
        <v>1.0915816539905667</v>
      </c>
      <c r="P73" s="204">
        <f t="shared" si="13"/>
        <v>0.53181664902566972</v>
      </c>
      <c r="Q73" s="205">
        <f t="shared" si="14"/>
        <v>0.98407280375118</v>
      </c>
      <c r="R73" s="206">
        <f t="shared" si="15"/>
        <v>0.55425731508401876</v>
      </c>
      <c r="S73" s="51"/>
      <c r="T73" s="51"/>
      <c r="U73" s="51"/>
      <c r="V73" s="41"/>
      <c r="W73" s="41"/>
      <c r="X73" s="41"/>
      <c r="Y73" s="41"/>
      <c r="Z73" s="41"/>
    </row>
    <row r="74" ht="13.5">
      <c r="A74" s="207"/>
      <c r="B74" s="208"/>
      <c r="C74" s="67" t="s">
        <v>145</v>
      </c>
      <c r="D74" s="209" t="s">
        <v>146</v>
      </c>
      <c r="E74" s="102">
        <v>418867.5</v>
      </c>
      <c r="F74" s="122">
        <v>599211.69999999995</v>
      </c>
      <c r="G74" s="122">
        <v>478716.90000000002</v>
      </c>
      <c r="H74" s="102">
        <v>120494.8</v>
      </c>
      <c r="I74" s="102">
        <v>379470.40000000002</v>
      </c>
      <c r="J74" s="102">
        <v>0</v>
      </c>
      <c r="K74" s="102">
        <f t="shared" si="16"/>
        <v>-39397.099999999977</v>
      </c>
      <c r="L74" s="102">
        <f t="shared" ref="L74:L83" si="19">I74-G74</f>
        <v>-99246.5</v>
      </c>
      <c r="M74" s="102">
        <f t="shared" si="17"/>
        <v>-219741.29999999993</v>
      </c>
      <c r="N74" s="102">
        <f t="shared" si="18"/>
        <v>-120494.8</v>
      </c>
      <c r="O74" s="75">
        <f t="shared" ref="O74:O83" si="20">IFERROR(I74/E74,"")</f>
        <v>0.90594376503309526</v>
      </c>
      <c r="P74" s="75">
        <f t="shared" ref="P74:P83" si="21">IFERROR(J74/H74,"")</f>
        <v>0</v>
      </c>
      <c r="Q74" s="75">
        <f t="shared" ref="Q74:Q83" si="22">IFERROR(I74/G74,"")</f>
        <v>0.79268227213202624</v>
      </c>
      <c r="R74" s="77">
        <f t="shared" ref="R74:R83" si="23">IFERROR(I74/F74,"")</f>
        <v>0.63328269458022945</v>
      </c>
      <c r="S74" s="5"/>
      <c r="T74" s="5"/>
      <c r="U74" s="5"/>
      <c r="V74" s="1"/>
      <c r="W74" s="1"/>
      <c r="X74" s="1"/>
      <c r="Y74" s="1"/>
      <c r="Z74" s="1"/>
    </row>
    <row r="75" ht="13.5">
      <c r="A75" s="210"/>
      <c r="B75" s="211"/>
      <c r="C75" s="78" t="s">
        <v>147</v>
      </c>
      <c r="D75" s="212" t="s">
        <v>148</v>
      </c>
      <c r="E75" s="102">
        <v>2149715.3700000001</v>
      </c>
      <c r="F75" s="122">
        <v>9188373.8900000006</v>
      </c>
      <c r="G75" s="102">
        <v>2593850.7799999998</v>
      </c>
      <c r="H75" s="57">
        <f>61523.85+425161.34</f>
        <v>486685.19</v>
      </c>
      <c r="I75" s="102">
        <v>2593850.7799999998</v>
      </c>
      <c r="J75" s="103">
        <v>7573.4499999999998</v>
      </c>
      <c r="K75" s="102">
        <f t="shared" si="16"/>
        <v>444135.40999999968</v>
      </c>
      <c r="L75" s="102">
        <f t="shared" si="19"/>
        <v>0</v>
      </c>
      <c r="M75" s="102">
        <f t="shared" si="17"/>
        <v>-6594523.1100000013</v>
      </c>
      <c r="N75" s="102">
        <f t="shared" si="18"/>
        <v>-479111.73999999999</v>
      </c>
      <c r="O75" s="75">
        <f t="shared" si="20"/>
        <v>1.2066019605190801</v>
      </c>
      <c r="P75" s="75">
        <f t="shared" si="21"/>
        <v>0.015561291273317767</v>
      </c>
      <c r="Q75" s="75">
        <f t="shared" si="22"/>
        <v>1</v>
      </c>
      <c r="R75" s="77">
        <f t="shared" si="23"/>
        <v>0.28229704309518466</v>
      </c>
      <c r="S75" s="5"/>
      <c r="T75" s="5"/>
      <c r="U75" s="5"/>
      <c r="V75" s="1"/>
      <c r="W75" s="1"/>
      <c r="X75" s="1"/>
      <c r="Y75" s="1"/>
      <c r="Z75" s="1"/>
    </row>
    <row r="76" ht="13.5">
      <c r="A76" s="210"/>
      <c r="B76" s="211"/>
      <c r="C76" s="67" t="s">
        <v>149</v>
      </c>
      <c r="D76" s="209" t="s">
        <v>150</v>
      </c>
      <c r="E76" s="102">
        <v>10724357.6</v>
      </c>
      <c r="F76" s="122">
        <v>17821978.010000002</v>
      </c>
      <c r="G76" s="122">
        <f>12028975.45+6078.11</f>
        <v>12035053.559999999</v>
      </c>
      <c r="H76" s="102">
        <f>696710.89+2395.87</f>
        <v>699106.76000000001</v>
      </c>
      <c r="I76" s="122">
        <v>12009082.74</v>
      </c>
      <c r="J76" s="102">
        <v>673135.95000000007</v>
      </c>
      <c r="K76" s="102">
        <f t="shared" si="16"/>
        <v>1284725.1400000006</v>
      </c>
      <c r="L76" s="102">
        <f t="shared" si="19"/>
        <v>-25970.819999998435</v>
      </c>
      <c r="M76" s="102">
        <f t="shared" si="17"/>
        <v>-5812895.2700000014</v>
      </c>
      <c r="N76" s="122">
        <f t="shared" si="18"/>
        <v>-25970.809999999939</v>
      </c>
      <c r="O76" s="75">
        <f t="shared" si="20"/>
        <v>1.1197950672588539</v>
      </c>
      <c r="P76" s="75">
        <f t="shared" si="21"/>
        <v>0.96285143917074989</v>
      </c>
      <c r="Q76" s="75">
        <f t="shared" si="22"/>
        <v>0.99784206859815605</v>
      </c>
      <c r="R76" s="77">
        <f t="shared" si="23"/>
        <v>0.67383557163305008</v>
      </c>
      <c r="S76" s="5"/>
      <c r="T76" s="5"/>
      <c r="U76" s="5"/>
      <c r="V76" s="1"/>
      <c r="W76" s="1"/>
      <c r="X76" s="1"/>
      <c r="Y76" s="1"/>
      <c r="Z76" s="1"/>
    </row>
    <row r="77" ht="13.5">
      <c r="A77" s="210"/>
      <c r="B77" s="211"/>
      <c r="C77" s="78" t="s">
        <v>151</v>
      </c>
      <c r="D77" s="213" t="s">
        <v>152</v>
      </c>
      <c r="E77" s="102">
        <v>2235022.1699999999</v>
      </c>
      <c r="F77" s="122">
        <v>2981815.1800000002</v>
      </c>
      <c r="G77" s="103">
        <f>2085955.87+33707.8</f>
        <v>2119663.6699999999</v>
      </c>
      <c r="H77" s="214">
        <f>52414.99+2776.49</f>
        <v>55191.479999999996</v>
      </c>
      <c r="I77" s="102">
        <v>2104586.4500000002</v>
      </c>
      <c r="J77" s="214">
        <v>43524.129999999997</v>
      </c>
      <c r="K77" s="102">
        <f t="shared" si="16"/>
        <v>-130435.71999999974</v>
      </c>
      <c r="L77" s="102">
        <f t="shared" si="19"/>
        <v>-15077.219999999739</v>
      </c>
      <c r="M77" s="102">
        <f t="shared" si="17"/>
        <v>-877228.72999999998</v>
      </c>
      <c r="N77" s="102">
        <f t="shared" si="18"/>
        <v>-11667.349999999999</v>
      </c>
      <c r="O77" s="75">
        <f t="shared" si="20"/>
        <v>0.94164007778052616</v>
      </c>
      <c r="P77" s="75">
        <f t="shared" si="21"/>
        <v>0.78860233499808308</v>
      </c>
      <c r="Q77" s="75">
        <f t="shared" si="22"/>
        <v>0.992886975319061</v>
      </c>
      <c r="R77" s="77">
        <f t="shared" si="23"/>
        <v>0.70580714194365324</v>
      </c>
      <c r="S77" s="5"/>
      <c r="T77" s="5"/>
      <c r="U77" s="5"/>
      <c r="V77" s="1"/>
      <c r="W77" s="1"/>
      <c r="X77" s="1"/>
      <c r="Y77" s="1"/>
      <c r="Z77" s="1"/>
    </row>
    <row r="78" ht="13.5">
      <c r="A78" s="210"/>
      <c r="B78" s="211"/>
      <c r="C78" s="67" t="s">
        <v>153</v>
      </c>
      <c r="D78" s="213" t="s">
        <v>154</v>
      </c>
      <c r="E78" s="102">
        <v>7534.4099999999999</v>
      </c>
      <c r="F78" s="122">
        <v>0</v>
      </c>
      <c r="G78" s="122">
        <v>0</v>
      </c>
      <c r="H78" s="102">
        <v>0</v>
      </c>
      <c r="I78" s="105">
        <v>3.1099999999999999</v>
      </c>
      <c r="J78" s="102">
        <v>0</v>
      </c>
      <c r="K78" s="102">
        <f t="shared" si="16"/>
        <v>-7531.3000000000002</v>
      </c>
      <c r="L78" s="102">
        <f t="shared" si="19"/>
        <v>3.1099999999999999</v>
      </c>
      <c r="M78" s="102">
        <f t="shared" si="17"/>
        <v>3.1099999999999999</v>
      </c>
      <c r="N78" s="105">
        <f t="shared" si="18"/>
        <v>0</v>
      </c>
      <c r="O78" s="75">
        <f t="shared" si="20"/>
        <v>0.00041277286476313339</v>
      </c>
      <c r="P78" s="75" t="str">
        <f t="shared" si="21"/>
        <v/>
      </c>
      <c r="Q78" s="75" t="str">
        <f t="shared" si="22"/>
        <v/>
      </c>
      <c r="R78" s="77" t="str">
        <f t="shared" si="23"/>
        <v/>
      </c>
      <c r="S78" s="5"/>
      <c r="T78" s="5"/>
      <c r="U78" s="5"/>
      <c r="V78" s="1"/>
      <c r="W78" s="1"/>
      <c r="X78" s="1"/>
      <c r="Y78" s="1"/>
      <c r="Z78" s="1"/>
    </row>
    <row r="79" ht="13.5">
      <c r="A79" s="210"/>
      <c r="B79" s="211"/>
      <c r="C79" s="67" t="s">
        <v>155</v>
      </c>
      <c r="D79" s="213" t="s">
        <v>156</v>
      </c>
      <c r="E79" s="102">
        <v>44836.290000000001</v>
      </c>
      <c r="F79" s="122">
        <v>0</v>
      </c>
      <c r="G79" s="122">
        <v>0</v>
      </c>
      <c r="H79" s="102">
        <v>0</v>
      </c>
      <c r="I79" s="103">
        <v>155</v>
      </c>
      <c r="J79" s="102">
        <v>0</v>
      </c>
      <c r="K79" s="102">
        <f t="shared" si="16"/>
        <v>-44681.290000000001</v>
      </c>
      <c r="L79" s="102">
        <f t="shared" si="19"/>
        <v>155</v>
      </c>
      <c r="M79" s="102">
        <f t="shared" si="17"/>
        <v>155</v>
      </c>
      <c r="N79" s="103">
        <f t="shared" si="18"/>
        <v>0</v>
      </c>
      <c r="O79" s="75">
        <f t="shared" si="20"/>
        <v>0.0034570210871595307</v>
      </c>
      <c r="P79" s="75" t="str">
        <f t="shared" si="21"/>
        <v/>
      </c>
      <c r="Q79" s="75" t="str">
        <f t="shared" si="22"/>
        <v/>
      </c>
      <c r="R79" s="77" t="str">
        <f t="shared" si="23"/>
        <v/>
      </c>
      <c r="S79" s="5"/>
      <c r="T79" s="5"/>
      <c r="U79" s="5"/>
      <c r="V79" s="1"/>
      <c r="W79" s="1"/>
      <c r="X79" s="1"/>
      <c r="Y79" s="1"/>
      <c r="Z79" s="1"/>
    </row>
    <row r="80" ht="13.5">
      <c r="A80" s="215"/>
      <c r="B80" s="211"/>
      <c r="C80" s="67" t="s">
        <v>157</v>
      </c>
      <c r="D80" s="216" t="s">
        <v>158</v>
      </c>
      <c r="E80" s="69">
        <v>0</v>
      </c>
      <c r="F80" s="122">
        <v>0</v>
      </c>
      <c r="G80" s="122">
        <v>0</v>
      </c>
      <c r="H80" s="102">
        <v>0</v>
      </c>
      <c r="I80" s="105">
        <v>0</v>
      </c>
      <c r="J80" s="102">
        <v>165.11000000000001</v>
      </c>
      <c r="K80" s="102">
        <f t="shared" si="16"/>
        <v>0</v>
      </c>
      <c r="L80" s="102">
        <f t="shared" si="19"/>
        <v>0</v>
      </c>
      <c r="M80" s="102">
        <f t="shared" si="17"/>
        <v>0</v>
      </c>
      <c r="N80" s="105">
        <f t="shared" si="18"/>
        <v>165.11000000000001</v>
      </c>
      <c r="O80" s="75" t="str">
        <f t="shared" si="20"/>
        <v/>
      </c>
      <c r="P80" s="75" t="str">
        <f t="shared" si="21"/>
        <v/>
      </c>
      <c r="Q80" s="75" t="str">
        <f t="shared" si="22"/>
        <v/>
      </c>
      <c r="R80" s="77" t="str">
        <f t="shared" si="23"/>
        <v/>
      </c>
      <c r="S80" s="5"/>
      <c r="T80" s="5"/>
      <c r="U80" s="5"/>
      <c r="V80" s="1"/>
      <c r="W80" s="1"/>
      <c r="X80" s="1"/>
      <c r="Y80" s="1"/>
      <c r="Z80" s="1"/>
    </row>
    <row r="81" ht="13.5">
      <c r="A81" s="210"/>
      <c r="B81" s="211"/>
      <c r="C81" s="217" t="s">
        <v>159</v>
      </c>
      <c r="D81" s="126" t="s">
        <v>160</v>
      </c>
      <c r="E81" s="102">
        <v>27620.330000000002</v>
      </c>
      <c r="F81" s="122">
        <v>6032.6000000000004</v>
      </c>
      <c r="G81" s="122">
        <v>6032.6000000000004</v>
      </c>
      <c r="H81" s="122">
        <v>0</v>
      </c>
      <c r="I81" s="122">
        <v>141774.66</v>
      </c>
      <c r="J81" s="122">
        <v>20.559999999999999</v>
      </c>
      <c r="K81" s="102">
        <f t="shared" si="16"/>
        <v>114154.33</v>
      </c>
      <c r="L81" s="102">
        <f t="shared" si="19"/>
        <v>135742.06</v>
      </c>
      <c r="M81" s="102">
        <f t="shared" si="17"/>
        <v>135742.06</v>
      </c>
      <c r="N81" s="122">
        <f t="shared" si="18"/>
        <v>20.559999999999999</v>
      </c>
      <c r="O81" s="75">
        <f t="shared" si="20"/>
        <v>5.1329821186061135</v>
      </c>
      <c r="P81" s="75" t="str">
        <f t="shared" si="21"/>
        <v/>
      </c>
      <c r="Q81" s="75">
        <f t="shared" si="22"/>
        <v>23.501418957000297</v>
      </c>
      <c r="R81" s="77">
        <f t="shared" si="23"/>
        <v>23.501418957000297</v>
      </c>
      <c r="S81" s="5"/>
      <c r="T81" s="5"/>
      <c r="U81" s="5"/>
      <c r="V81" s="1"/>
      <c r="W81" s="1"/>
      <c r="X81" s="1"/>
      <c r="Y81" s="1"/>
      <c r="Z81" s="1"/>
    </row>
    <row r="82" ht="13.5">
      <c r="A82" s="210"/>
      <c r="B82" s="208"/>
      <c r="C82" s="218" t="s">
        <v>161</v>
      </c>
      <c r="D82" s="219" t="s">
        <v>162</v>
      </c>
      <c r="E82" s="220">
        <v>-71929.389999999999</v>
      </c>
      <c r="F82" s="221">
        <v>0</v>
      </c>
      <c r="G82" s="221">
        <v>0</v>
      </c>
      <c r="H82" s="171">
        <v>0</v>
      </c>
      <c r="I82" s="103">
        <v>-270084.06</v>
      </c>
      <c r="J82" s="171">
        <v>-362.41000000000003</v>
      </c>
      <c r="K82" s="171">
        <f t="shared" si="16"/>
        <v>-198154.66999999998</v>
      </c>
      <c r="L82" s="171">
        <f t="shared" si="19"/>
        <v>-270084.06</v>
      </c>
      <c r="M82" s="171">
        <f t="shared" si="17"/>
        <v>-270084.06</v>
      </c>
      <c r="N82" s="103">
        <f t="shared" si="18"/>
        <v>-362.41000000000003</v>
      </c>
      <c r="O82" s="85">
        <f t="shared" si="20"/>
        <v>3.7548498603978153</v>
      </c>
      <c r="P82" s="74" t="str">
        <f t="shared" si="21"/>
        <v/>
      </c>
      <c r="Q82" s="85" t="str">
        <f t="shared" si="22"/>
        <v/>
      </c>
      <c r="R82" s="86" t="str">
        <f t="shared" si="23"/>
        <v/>
      </c>
      <c r="S82" s="5"/>
      <c r="T82" s="5"/>
      <c r="U82" s="5"/>
      <c r="V82" s="1"/>
      <c r="W82" s="1"/>
      <c r="X82" s="1"/>
      <c r="Y82" s="1"/>
      <c r="Z82" s="1"/>
    </row>
    <row r="83" s="41" customFormat="1" ht="13.5">
      <c r="A83" s="222"/>
      <c r="B83" s="194" t="s">
        <v>163</v>
      </c>
      <c r="C83" s="195"/>
      <c r="D83" s="196"/>
      <c r="E83" s="91">
        <f>E72+E73</f>
        <v>33893600.839999996</v>
      </c>
      <c r="F83" s="91">
        <f>F72+F73</f>
        <v>67657531.319999993</v>
      </c>
      <c r="G83" s="91">
        <f>G72+G73</f>
        <v>39096027.079999998</v>
      </c>
      <c r="H83" s="91">
        <f>H72+H73</f>
        <v>4010995.2399999998</v>
      </c>
      <c r="I83" s="91">
        <f>I72+I73</f>
        <v>36968527.400000006</v>
      </c>
      <c r="J83" s="91">
        <f>J72+J73</f>
        <v>1430301.3900000001</v>
      </c>
      <c r="K83" s="91">
        <f t="shared" si="16"/>
        <v>3074926.5600000098</v>
      </c>
      <c r="L83" s="91">
        <f t="shared" si="19"/>
        <v>-2127499.6799999923</v>
      </c>
      <c r="M83" s="91">
        <f t="shared" si="17"/>
        <v>-30689003.919999987</v>
      </c>
      <c r="N83" s="91">
        <f t="shared" si="18"/>
        <v>-2580693.8499999996</v>
      </c>
      <c r="O83" s="48">
        <f t="shared" si="20"/>
        <v>1.0907229236136837</v>
      </c>
      <c r="P83" s="48">
        <f t="shared" si="21"/>
        <v>0.35659513522633857</v>
      </c>
      <c r="Q83" s="48">
        <f t="shared" si="22"/>
        <v>0.94558271418099316</v>
      </c>
      <c r="R83" s="50">
        <f t="shared" si="23"/>
        <v>0.54640668494317168</v>
      </c>
      <c r="S83" s="51"/>
      <c r="T83" s="51"/>
      <c r="U83" s="51"/>
      <c r="V83" s="41"/>
      <c r="W83" s="41"/>
      <c r="X83" s="41"/>
      <c r="Y83" s="41"/>
      <c r="Z83" s="41"/>
    </row>
    <row r="84" ht="13.5">
      <c r="A84" s="223"/>
      <c r="B84" s="224" t="s">
        <v>164</v>
      </c>
      <c r="C84" s="4"/>
      <c r="D84" s="225"/>
      <c r="E84" s="226"/>
      <c r="F84" s="227"/>
      <c r="G84" s="226"/>
      <c r="H84" s="226"/>
      <c r="I84" s="228"/>
      <c r="J84" s="228"/>
      <c r="K84" s="228"/>
      <c r="L84" s="228"/>
      <c r="M84" s="227"/>
      <c r="N84" s="227"/>
      <c r="O84" s="227"/>
      <c r="S84" s="5"/>
      <c r="T84" s="5"/>
      <c r="U84" s="5"/>
      <c r="V84" s="1"/>
      <c r="W84" s="1"/>
      <c r="X84" s="1"/>
      <c r="Y84" s="1"/>
      <c r="Z84" s="1"/>
    </row>
    <row r="85" ht="12.75">
      <c r="A85" s="2"/>
      <c r="B85" s="3"/>
      <c r="C85" s="4"/>
      <c r="D85" s="5"/>
      <c r="E85" s="6"/>
      <c r="F85" s="5"/>
      <c r="G85" s="7"/>
      <c r="H85" s="6"/>
      <c r="I85" s="8"/>
      <c r="J85" s="8"/>
      <c r="K85" s="8"/>
      <c r="L85" s="8"/>
      <c r="M85" s="5"/>
      <c r="N85" s="5"/>
      <c r="O85" s="5"/>
      <c r="P85" s="5"/>
      <c r="Q85" s="5"/>
      <c r="R85" s="5"/>
      <c r="S85" s="5"/>
      <c r="T85" s="5"/>
      <c r="U85" s="5"/>
      <c r="V85" s="1"/>
      <c r="W85" s="1"/>
      <c r="X85" s="1"/>
      <c r="Y85" s="1"/>
      <c r="Z85" s="1"/>
    </row>
    <row r="86" ht="12.75">
      <c r="E86" s="6"/>
      <c r="H86" s="6"/>
      <c r="I86" s="8"/>
      <c r="J86" s="8"/>
      <c r="K86" s="8"/>
      <c r="S86" s="5"/>
      <c r="T86" s="5"/>
      <c r="U86" s="5"/>
      <c r="V86" s="1"/>
      <c r="W86" s="1"/>
      <c r="X86" s="1"/>
      <c r="Y86" s="1"/>
      <c r="Z86" s="1"/>
    </row>
    <row r="87" ht="12.75">
      <c r="E87" s="6"/>
      <c r="F87" s="5"/>
      <c r="G87" s="7"/>
      <c r="H87" s="6"/>
      <c r="I87" s="8"/>
      <c r="J87" s="8"/>
      <c r="K87" s="8"/>
      <c r="S87" s="5"/>
      <c r="T87" s="5"/>
      <c r="U87" s="5"/>
      <c r="V87" s="1"/>
      <c r="W87" s="1"/>
      <c r="X87" s="1"/>
      <c r="Y87" s="1"/>
      <c r="Z87" s="1"/>
    </row>
    <row r="88" ht="12.75">
      <c r="E88" s="6"/>
      <c r="F88" s="5"/>
      <c r="G88" s="7"/>
      <c r="H88" s="6"/>
      <c r="I88" s="8"/>
      <c r="J88" s="8"/>
      <c r="K88" s="8"/>
      <c r="S88" s="5"/>
      <c r="T88" s="5"/>
      <c r="U88" s="5"/>
      <c r="V88" s="1"/>
      <c r="W88" s="1"/>
      <c r="X88" s="1"/>
      <c r="Y88" s="1"/>
      <c r="Z88" s="1"/>
    </row>
    <row r="89" ht="12.75">
      <c r="E89" s="6"/>
      <c r="F89" s="5"/>
      <c r="G89" s="7"/>
      <c r="H89" s="6"/>
      <c r="I89" s="8"/>
      <c r="J89" s="8"/>
      <c r="K89" s="8"/>
      <c r="S89" s="5"/>
      <c r="T89" s="5"/>
      <c r="U89" s="5"/>
      <c r="V89" s="1"/>
      <c r="W89" s="1"/>
      <c r="X89" s="1"/>
      <c r="Y89" s="1"/>
      <c r="Z89" s="1"/>
    </row>
    <row r="90" ht="12.75">
      <c r="E90" s="6"/>
      <c r="I90" s="8"/>
      <c r="J90" s="8"/>
      <c r="K90" s="8"/>
      <c r="S90" s="5"/>
      <c r="T90" s="5"/>
      <c r="U90" s="5"/>
      <c r="V90" s="1"/>
      <c r="W90" s="1"/>
      <c r="X90" s="1"/>
      <c r="Y90" s="1"/>
      <c r="Z90" s="1"/>
    </row>
    <row r="91" ht="12.75">
      <c r="S91" s="5"/>
      <c r="T91" s="5"/>
      <c r="U91" s="5"/>
      <c r="V91" s="1"/>
      <c r="W91" s="1"/>
      <c r="X91" s="1"/>
      <c r="Y91" s="1"/>
      <c r="Z91" s="1"/>
    </row>
    <row r="92" ht="12.75">
      <c r="S92" s="5"/>
      <c r="T92" s="5"/>
      <c r="U92" s="5"/>
      <c r="V92" s="1"/>
      <c r="W92" s="1"/>
      <c r="X92" s="1"/>
      <c r="Y92" s="1"/>
      <c r="Z92" s="1"/>
    </row>
    <row r="93" ht="12.75">
      <c r="S93" s="5"/>
      <c r="T93" s="5"/>
      <c r="U93" s="5"/>
      <c r="V93" s="1"/>
      <c r="W93" s="1"/>
      <c r="X93" s="1"/>
      <c r="Y93" s="1"/>
      <c r="Z93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yuryeva-oi</cp:lastModifiedBy>
  <cp:revision>342</cp:revision>
  <dcterms:created xsi:type="dcterms:W3CDTF">2015-02-26T11:08:47Z</dcterms:created>
  <dcterms:modified xsi:type="dcterms:W3CDTF">2026-08-10T09:54:49Z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