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12.10." sheetId="1" state="visible" r:id="rId1"/>
  </sheets>
  <definedNames>
    <definedName name="_xlnm._FilterDatabase" localSheetId="0" hidden="1">'на 12.10.'!$A$4:$R$84</definedName>
    <definedName name="_xlnm.Print_Area" localSheetId="0" hidden="0">'на 12.10.'!$A$1:$R$84</definedName>
    <definedName name="Print_Titles" localSheetId="0" hidden="0">'на 12.10.'!$3:$4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12.10.'!$A$4:$R$84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<sst xmlns="http://schemas.openxmlformats.org/spreadsheetml/2006/main" count="165" uniqueCount="165">
  <si>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</si>
  <si>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</si>
  <si>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</si>
  <si>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</si>
  <si>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</si>
  <si>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</si>
  <si>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09.10.2025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</si>
  <si>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</si>
  <si>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</si>
  <si>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</si>
  <si>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</si>
  <si>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</si>
  <si>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</si>
  <si>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</si>
  <si>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</si>
  <si>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октябрь</t>
  </si>
  <si>
    <t>октябрь</t>
  </si>
  <si>
    <t xml:space="preserve">с нач. года на 12.10.2026 (по 09.10.2026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</si>
  <si>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</si>
  <si>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</si>
  <si>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</si>
  <si>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октябрь от плана октября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</si>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</sst>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3">
    <xf fontId="0" fillId="0" borderId="0" numFmtId="0" xfId="0"/>
    <xf fontId="5" fillId="3" borderId="0" numFmtId="0" xfId="0" applyFont="1" applyFill="1" applyAlignment="1">
      <alignment vertical="center"/>
    </xf>
    <xf fontId="5" fillId="3" borderId="1" numFmtId="0" xfId="0" applyFont="1" applyFill="1" applyBorder="1" applyAlignment="1">
      <alignment vertical="center"/>
    </xf>
    <xf fontId="6" fillId="3" borderId="0" numFmtId="0" xfId="0" applyFont="1" applyFill="1" applyAlignment="1">
      <alignment vertical="center"/>
    </xf>
    <xf fontId="7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vertical="center"/>
    </xf>
    <xf fontId="5" fillId="3" borderId="0" numFmtId="163" xfId="0" applyNumberFormat="1" applyFont="1" applyFill="1" applyAlignment="1">
      <alignment vertical="center"/>
    </xf>
    <xf fontId="8" fillId="3" borderId="0" numFmtId="0" xfId="0" applyFont="1" applyFill="1" applyAlignment="1">
      <alignment horizontal="center" vertical="center" wrapText="1"/>
    </xf>
    <xf fontId="9" fillId="3" borderId="0" numFmtId="0" xfId="0" applyFont="1" applyFill="1" applyAlignment="1">
      <alignment horizontal="left" vertical="center"/>
    </xf>
    <xf fontId="5" fillId="3" borderId="1" numFmtId="49" xfId="0" applyNumberFormat="1" applyFont="1" applyFill="1" applyBorder="1" applyAlignment="1">
      <alignment horizontal="center" vertical="center" wrapText="1"/>
    </xf>
    <xf fontId="6" fillId="3" borderId="0" numFmtId="0" xfId="0" applyFont="1" applyFill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5" fillId="3" borderId="0" numFmtId="162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 wrapText="1"/>
    </xf>
    <xf fontId="5" fillId="3" borderId="0" numFmtId="163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/>
    </xf>
    <xf fontId="11" fillId="3" borderId="0" numFmtId="0" xfId="0" applyFont="1" applyFill="1" applyAlignment="1">
      <alignment vertical="center"/>
    </xf>
    <xf fontId="11" fillId="3" borderId="2" numFmtId="49" xfId="0" applyNumberFormat="1" applyFont="1" applyFill="1" applyBorder="1" applyAlignment="1">
      <alignment horizontal="center" vertical="center" wrapText="1"/>
    </xf>
    <xf fontId="11" fillId="3" borderId="3" numFmtId="0" xfId="0" applyFont="1" applyFill="1" applyBorder="1" applyAlignment="1">
      <alignment horizontal="center" vertical="center" wrapText="1"/>
    </xf>
    <xf fontId="9" fillId="3" borderId="4" numFmtId="49" xfId="0" applyNumberFormat="1" applyFont="1" applyFill="1" applyBorder="1" applyAlignment="1">
      <alignment horizontal="center" vertical="center" wrapText="1"/>
    </xf>
    <xf fontId="11" fillId="3" borderId="4" numFmtId="0" xfId="0" applyFont="1" applyFill="1" applyBorder="1" applyAlignment="1">
      <alignment horizontal="center" vertical="center" wrapText="1"/>
    </xf>
    <xf fontId="12" fillId="3" borderId="4" numFmtId="162" xfId="0" applyNumberFormat="1" applyFont="1" applyFill="1" applyBorder="1" applyAlignment="1">
      <alignment horizontal="center" vertical="center" wrapText="1"/>
    </xf>
    <xf fontId="12" fillId="3" borderId="5" numFmtId="162" xfId="0" applyNumberFormat="1" applyFont="1" applyFill="1" applyBorder="1" applyAlignment="1">
      <alignment horizontal="center" vertical="center" wrapText="1"/>
    </xf>
    <xf fontId="12" fillId="3" borderId="6" numFmtId="162" xfId="0" applyNumberFormat="1" applyFont="1" applyFill="1" applyBorder="1" applyAlignment="1">
      <alignment horizontal="center" vertical="center" wrapText="1"/>
    </xf>
    <xf fontId="12" fillId="3" borderId="7" numFmtId="162" xfId="0" applyNumberFormat="1" applyFont="1" applyFill="1" applyBorder="1" applyAlignment="1">
      <alignment horizontal="center" vertical="center" wrapText="1"/>
    </xf>
    <xf fontId="12" fillId="3" borderId="5" numFmtId="163" xfId="0" applyNumberFormat="1" applyFont="1" applyFill="1" applyBorder="1" applyAlignment="1">
      <alignment horizontal="center" vertical="center" wrapText="1"/>
    </xf>
    <xf fontId="12" fillId="3" borderId="7" numFmtId="163" xfId="0" applyNumberFormat="1" applyFont="1" applyFill="1" applyBorder="1" applyAlignment="1">
      <alignment horizontal="center" vertical="center" wrapText="1"/>
    </xf>
    <xf fontId="12" fillId="3" borderId="4" numFmtId="0" xfId="0" applyFont="1" applyFill="1" applyBorder="1" applyAlignment="1">
      <alignment horizontal="center" vertical="center" wrapText="1"/>
    </xf>
    <xf fontId="12" fillId="3" borderId="4" numFmtId="164" xfId="105" applyNumberFormat="1" applyFont="1" applyFill="1" applyBorder="1" applyAlignment="1" applyProtection="1">
      <alignment horizontal="center" vertical="center" wrapText="1"/>
    </xf>
    <xf fontId="12" fillId="3" borderId="4" numFmtId="163" xfId="0" applyNumberFormat="1" applyFont="1" applyFill="1" applyBorder="1" applyAlignment="1">
      <alignment horizontal="center" vertical="center" wrapText="1"/>
    </xf>
    <xf fontId="12" fillId="3" borderId="0" numFmtId="163" xfId="0" applyNumberFormat="1" applyFont="1" applyFill="1" applyAlignment="1">
      <alignment horizontal="center" vertical="center" wrapText="1"/>
    </xf>
    <xf fontId="12" fillId="3" borderId="0" numFmtId="162" xfId="0" applyNumberFormat="1" applyFont="1" applyFill="1" applyAlignment="1">
      <alignment horizontal="center" vertical="center" wrapText="1"/>
    </xf>
    <xf fontId="13" fillId="3" borderId="0" numFmtId="0" xfId="0" applyFont="1" applyFill="1" applyAlignment="1">
      <alignment vertical="center"/>
    </xf>
    <xf fontId="13" fillId="3" borderId="8" numFmtId="49" xfId="0" applyNumberFormat="1" applyFont="1" applyFill="1" applyBorder="1" applyAlignment="1">
      <alignment horizontal="center" vertical="center" wrapText="1"/>
    </xf>
    <xf fontId="13" fillId="3" borderId="9" numFmtId="0" xfId="0" applyFont="1" applyFill="1" applyBorder="1" applyAlignment="1">
      <alignment horizontal="center" vertical="center" wrapText="1"/>
    </xf>
    <xf fontId="9" fillId="3" borderId="10" numFmtId="0" xfId="0" applyFont="1" applyFill="1" applyBorder="1" applyAlignment="1">
      <alignment horizontal="left" vertical="center"/>
    </xf>
    <xf fontId="13" fillId="3" borderId="11" numFmtId="0" xfId="0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vertical="center" wrapText="1"/>
    </xf>
    <xf fontId="13" fillId="3" borderId="10" numFmtId="164" xfId="0" applyNumberFormat="1" applyFont="1" applyFill="1" applyBorder="1" applyAlignment="1">
      <alignment horizontal="right" vertical="center" wrapText="1"/>
    </xf>
    <xf fontId="13" fillId="3" borderId="12" numFmtId="164" xfId="0" applyNumberFormat="1" applyFont="1" applyFill="1" applyBorder="1" applyAlignment="1">
      <alignment horizontal="right" vertical="center" wrapText="1"/>
    </xf>
    <xf fontId="13" fillId="3" borderId="11" numFmtId="164" xfId="0" applyNumberFormat="1" applyFont="1" applyFill="1" applyBorder="1" applyAlignment="1">
      <alignment horizontal="right" vertical="center" wrapText="1"/>
    </xf>
    <xf fontId="13" fillId="3" borderId="13" numFmtId="164" xfId="0" applyNumberFormat="1" applyFont="1" applyFill="1" applyBorder="1" applyAlignment="1">
      <alignment horizontal="right" vertical="center" wrapText="1"/>
    </xf>
    <xf fontId="5" fillId="3" borderId="14" numFmtId="49" xfId="0" applyNumberFormat="1" applyFont="1" applyFill="1" applyBorder="1" applyAlignment="1">
      <alignment horizontal="center" vertical="center" wrapText="1"/>
    </xf>
    <xf fontId="6" fillId="3" borderId="15" numFmtId="0" xfId="0" applyFont="1" applyFill="1" applyBorder="1" applyAlignment="1">
      <alignment horizontal="center" vertical="center" wrapText="1"/>
    </xf>
    <xf fontId="7" fillId="3" borderId="16" numFmtId="49" xfId="0" applyNumberFormat="1" applyFont="1" applyFill="1" applyBorder="1" applyAlignment="1">
      <alignment horizontal="left" vertical="center"/>
    </xf>
    <xf fontId="5" fillId="3" borderId="0" numFmtId="0" xfId="0" applyFont="1" applyFill="1" applyAlignment="1">
      <alignment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5" fillId="3" borderId="18" numFmtId="162" xfId="0" applyNumberFormat="1" applyFont="1" applyFill="1" applyBorder="1" applyAlignment="1">
      <alignment horizontal="right" vertical="center" wrapText="1"/>
    </xf>
    <xf fontId="5" fillId="3" borderId="15" numFmtId="162" xfId="0" applyNumberFormat="1" applyFont="1" applyFill="1" applyBorder="1" applyAlignment="1">
      <alignment horizontal="right" vertical="center" wrapText="1"/>
    </xf>
    <xf fontId="5" fillId="3" borderId="16" numFmtId="162" xfId="0" applyNumberFormat="1" applyFont="1" applyFill="1" applyBorder="1" applyAlignment="1">
      <alignment horizontal="right" vertical="center" wrapText="1"/>
    </xf>
    <xf fontId="5" fillId="3" borderId="15" numFmtId="164" xfId="0" applyNumberFormat="1" applyFont="1" applyFill="1" applyBorder="1" applyAlignment="1">
      <alignment horizontal="right" vertical="center" wrapText="1"/>
    </xf>
    <xf fontId="5" fillId="3" borderId="16" numFmtId="164" xfId="0" applyNumberFormat="1" applyFont="1" applyFill="1" applyBorder="1" applyAlignment="1">
      <alignment horizontal="right" vertical="center" wrapText="1"/>
    </xf>
    <xf fontId="5" fillId="3" borderId="19" numFmtId="164" xfId="0" applyNumberFormat="1" applyFont="1" applyFill="1" applyBorder="1" applyAlignment="1">
      <alignment horizontal="right" vertical="center" wrapText="1"/>
    </xf>
    <xf fontId="5" fillId="3" borderId="20" numFmtId="49" xfId="0" applyNumberFormat="1" applyFont="1" applyFill="1" applyBorder="1" applyAlignment="1">
      <alignment horizontal="center" vertical="center" wrapText="1"/>
    </xf>
    <xf fontId="6" fillId="3" borderId="20" numFmtId="0" xfId="0" applyFont="1" applyFill="1" applyBorder="1" applyAlignment="1">
      <alignment horizontal="center" vertical="center" wrapText="1"/>
    </xf>
    <xf fontId="7" fillId="3" borderId="20" numFmtId="49" xfId="0" applyNumberFormat="1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20" numFmtId="162" xfId="0" applyNumberFormat="1" applyFont="1" applyFill="1" applyBorder="1" applyAlignment="1">
      <alignment vertical="center" wrapText="1"/>
    </xf>
    <xf fontId="5" fillId="3" borderId="7" numFmtId="162" xfId="0" applyNumberFormat="1" applyFont="1" applyFill="1" applyBorder="1" applyAlignment="1">
      <alignment vertical="center" wrapText="1"/>
    </xf>
    <xf fontId="5" fillId="3" borderId="0" numFmtId="162" xfId="0" applyNumberFormat="1" applyFont="1" applyFill="1" applyAlignment="1">
      <alignment vertical="center" wrapText="1"/>
    </xf>
    <xf fontId="5" fillId="3" borderId="21" numFmtId="162" xfId="0" applyNumberFormat="1" applyFont="1" applyFill="1" applyBorder="1" applyAlignment="1">
      <alignment vertical="center" wrapText="1"/>
    </xf>
    <xf fontId="5" fillId="3" borderId="0" numFmtId="164" xfId="0" applyNumberFormat="1" applyFont="1" applyFill="1" applyAlignment="1">
      <alignment horizontal="right" vertical="center" wrapText="1"/>
    </xf>
    <xf fontId="5" fillId="3" borderId="20" numFmtId="164" xfId="0" applyNumberFormat="1" applyFont="1" applyFill="1" applyBorder="1" applyAlignment="1">
      <alignment horizontal="right" vertical="center" wrapText="1"/>
    </xf>
    <xf fontId="5" fillId="3" borderId="22" numFmtId="164" xfId="0" applyNumberFormat="1" applyFont="1" applyFill="1" applyBorder="1" applyAlignment="1">
      <alignment horizontal="right" vertical="center" wrapText="1"/>
    </xf>
    <xf fontId="5" fillId="3" borderId="23" numFmtId="164" xfId="0" applyNumberFormat="1" applyFont="1" applyFill="1" applyBorder="1" applyAlignment="1">
      <alignment horizontal="right" vertical="center" wrapText="1"/>
    </xf>
    <xf fontId="7" fillId="3" borderId="0" numFmtId="49" xfId="0" applyNumberFormat="1" applyFont="1" applyFill="1" applyAlignment="1">
      <alignment horizontal="left" vertical="center"/>
    </xf>
    <xf fontId="5" fillId="3" borderId="4" numFmtId="49" xfId="0" applyNumberFormat="1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center" vertical="center" wrapText="1"/>
    </xf>
    <xf fontId="5" fillId="3" borderId="24" numFmtId="0" xfId="0" applyFont="1" applyFill="1" applyBorder="1" applyAlignment="1">
      <alignment vertical="center" wrapText="1"/>
    </xf>
    <xf fontId="5" fillId="3" borderId="4" numFmtId="162" xfId="0" applyNumberFormat="1" applyFont="1" applyFill="1" applyBorder="1" applyAlignment="1">
      <alignment vertical="center" wrapText="1"/>
    </xf>
    <xf fontId="5" fillId="3" borderId="25" numFmtId="162" xfId="0" applyNumberFormat="1" applyFont="1" applyFill="1" applyBorder="1" applyAlignment="1">
      <alignment vertical="center" wrapText="1"/>
    </xf>
    <xf fontId="5" fillId="3" borderId="4" numFmtId="164" xfId="0" applyNumberFormat="1" applyFont="1" applyFill="1" applyBorder="1" applyAlignment="1">
      <alignment horizontal="right" vertical="center" wrapText="1"/>
    </xf>
    <xf fontId="5" fillId="3" borderId="26" numFmtId="164" xfId="0" applyNumberFormat="1" applyFont="1" applyFill="1" applyBorder="1" applyAlignment="1">
      <alignment horizontal="right" vertical="center" wrapText="1"/>
    </xf>
    <xf fontId="13" fillId="3" borderId="27" numFmtId="165" xfId="0" applyNumberFormat="1" applyFont="1" applyFill="1" applyBorder="1" applyAlignment="1">
      <alignment horizontal="center" vertical="center" wrapText="1"/>
    </xf>
    <xf fontId="13" fillId="3" borderId="10" numFmtId="165" xfId="0" applyNumberFormat="1" applyFont="1" applyFill="1" applyBorder="1" applyAlignment="1">
      <alignment horizontal="center" vertical="center" wrapText="1"/>
    </xf>
    <xf fontId="9" fillId="3" borderId="10" numFmtId="165" xfId="0" applyNumberFormat="1" applyFont="1" applyFill="1" applyBorder="1" applyAlignment="1">
      <alignment horizontal="left" vertical="center"/>
    </xf>
    <xf fontId="13" fillId="3" borderId="11" numFmtId="165" xfId="0" applyNumberFormat="1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3" borderId="10" numFmtId="162" xfId="0" applyNumberFormat="1" applyFont="1" applyFill="1" applyBorder="1" applyAlignment="1">
      <alignment horizontal="right" vertical="center" wrapText="1"/>
    </xf>
    <xf fontId="5" fillId="3" borderId="28" numFmtId="49" xfId="0" applyNumberFormat="1" applyFont="1" applyFill="1" applyBorder="1" applyAlignment="1">
      <alignment horizontal="center" vertical="center" wrapText="1"/>
    </xf>
    <xf fontId="6" fillId="3" borderId="29" numFmtId="0" xfId="0" applyFont="1" applyFill="1" applyBorder="1" applyAlignment="1">
      <alignment horizontal="center" vertical="center" wrapText="1"/>
    </xf>
    <xf fontId="7" fillId="3" borderId="15" numFmtId="0" xfId="0" applyFont="1" applyFill="1" applyBorder="1" applyAlignment="1">
      <alignment horizontal="left" vertical="center"/>
    </xf>
    <xf fontId="5" fillId="3" borderId="15" numFmtId="165" xfId="0" applyNumberFormat="1" applyFont="1" applyFill="1" applyBorder="1" applyAlignment="1">
      <alignment vertical="center" wrapText="1"/>
    </xf>
    <xf fontId="5" fillId="3" borderId="30" numFmtId="162" xfId="0" applyNumberFormat="1" applyFont="1" applyFill="1" applyBorder="1" applyAlignment="1">
      <alignment horizontal="right" vertical="center" wrapText="1"/>
    </xf>
    <xf fontId="5" fillId="3" borderId="23" numFmtId="49" xfId="0" applyNumberFormat="1" applyFont="1" applyFill="1" applyBorder="1" applyAlignment="1">
      <alignment horizontal="center" vertical="center" wrapText="1"/>
    </xf>
    <xf fontId="6" fillId="3" borderId="31" numFmtId="0" xfId="0" applyFont="1" applyFill="1" applyBorder="1" applyAlignment="1">
      <alignment horizontal="center" vertical="center" wrapText="1"/>
    </xf>
    <xf fontId="5" fillId="3" borderId="0" numFmtId="165" xfId="0" applyNumberFormat="1" applyFont="1" applyFill="1" applyAlignment="1">
      <alignment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20" numFmtId="165" xfId="0" applyNumberFormat="1" applyFont="1" applyFill="1" applyBorder="1" applyAlignment="1">
      <alignment vertical="center" wrapText="1"/>
    </xf>
    <xf fontId="5" fillId="3" borderId="6" numFmtId="162" xfId="0" applyNumberFormat="1" applyFont="1" applyFill="1" applyBorder="1" applyAlignment="1">
      <alignment horizontal="right" vertical="center" wrapText="1"/>
    </xf>
    <xf fontId="14" fillId="3" borderId="0" numFmtId="0" xfId="0" applyFont="1" applyFill="1" applyAlignment="1">
      <alignment vertical="center"/>
    </xf>
    <xf fontId="14" fillId="3" borderId="23" numFmtId="49" xfId="0" applyNumberFormat="1" applyFont="1" applyFill="1" applyBorder="1" applyAlignment="1">
      <alignment horizontal="center" vertical="center" wrapText="1"/>
    </xf>
    <xf fontId="14" fillId="3" borderId="32" numFmtId="0" xfId="0" applyFont="1" applyFill="1" applyBorder="1" applyAlignment="1">
      <alignment horizontal="center" vertical="center" wrapText="1"/>
    </xf>
    <xf fontId="15" fillId="3" borderId="33" numFmtId="49" xfId="0" applyNumberFormat="1" applyFont="1" applyFill="1" applyBorder="1" applyAlignment="1">
      <alignment horizontal="left" vertical="center"/>
    </xf>
    <xf fontId="14" fillId="3" borderId="34" numFmtId="0" xfId="0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horizontal="right"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3" borderId="33" numFmtId="164" xfId="0" applyNumberFormat="1" applyFont="1" applyFill="1" applyBorder="1" applyAlignment="1">
      <alignment horizontal="right" vertical="center" wrapText="1"/>
    </xf>
    <xf fontId="14" fillId="3" borderId="35" numFmtId="164" xfId="0" applyNumberFormat="1" applyFont="1" applyFill="1" applyBorder="1" applyAlignment="1">
      <alignment horizontal="right" vertical="center" wrapText="1"/>
    </xf>
    <xf fontId="5" fillId="3" borderId="26" numFmtId="1" xfId="0" applyNumberFormat="1" applyFont="1" applyFill="1" applyBorder="1" applyAlignment="1">
      <alignment horizontal="center" vertical="center" wrapText="1"/>
    </xf>
    <xf fontId="7" fillId="3" borderId="16" numFmtId="0" xfId="0" applyFont="1" applyFill="1" applyBorder="1" applyAlignment="1">
      <alignment horizontal="left" vertical="center"/>
    </xf>
    <xf fontId="5" fillId="3" borderId="36" numFmtId="0" xfId="0" applyFont="1" applyFill="1" applyBorder="1" applyAlignment="1">
      <alignment horizontal="left" vertical="center" wrapText="1"/>
    </xf>
    <xf fontId="5" fillId="3" borderId="37" numFmtId="162" xfId="0" applyNumberFormat="1" applyFont="1" applyFill="1" applyBorder="1" applyAlignment="1">
      <alignment horizontal="right" vertical="center" wrapText="1"/>
    </xf>
    <xf fontId="5" fillId="3" borderId="38" numFmtId="164" xfId="0" applyNumberFormat="1" applyFont="1" applyFill="1" applyBorder="1" applyAlignment="1">
      <alignment horizontal="right" vertical="center" wrapText="1"/>
    </xf>
    <xf fontId="5" fillId="3" borderId="23" numFmtId="0" xfId="0" applyFont="1" applyFill="1" applyBorder="1" applyAlignment="1">
      <alignment horizontal="center" vertical="center" wrapText="1"/>
    </xf>
    <xf fontId="7" fillId="3" borderId="20" numFmtId="0" xfId="0" applyFont="1" applyFill="1" applyBorder="1" applyAlignment="1">
      <alignment horizontal="left" vertical="center"/>
    </xf>
    <xf fontId="5" fillId="3" borderId="7" numFmtId="162" xfId="0" applyNumberFormat="1" applyFont="1" applyFill="1" applyBorder="1" applyAlignment="1">
      <alignment horizontal="right" vertical="center" wrapText="1"/>
    </xf>
    <xf fontId="5" fillId="3" borderId="26" numFmtId="0" xfId="0" applyFont="1" applyFill="1" applyBorder="1" applyAlignment="1">
      <alignment horizontal="center" vertical="center" wrapText="1"/>
    </xf>
    <xf fontId="6" fillId="3" borderId="39" numFmtId="0" xfId="0" applyFont="1" applyFill="1" applyBorder="1" applyAlignment="1">
      <alignment horizontal="center" vertical="center" wrapText="1"/>
    </xf>
    <xf fontId="7" fillId="3" borderId="20" numFmtId="166" xfId="0" applyNumberFormat="1" applyFont="1" applyFill="1" applyBorder="1" applyAlignment="1">
      <alignment vertical="center"/>
    </xf>
    <xf fontId="16" fillId="3" borderId="5" numFmtId="165" xfId="0" applyNumberFormat="1" applyFont="1" applyFill="1" applyBorder="1" applyAlignment="1">
      <alignment vertical="center" wrapText="1"/>
    </xf>
    <xf fontId="14" fillId="3" borderId="26" numFmtId="0" xfId="0" applyFont="1" applyFill="1" applyBorder="1" applyAlignment="1">
      <alignment horizontal="center" vertical="center" wrapText="1"/>
    </xf>
    <xf fontId="15" fillId="3" borderId="34" numFmtId="49" xfId="0" applyNumberFormat="1" applyFont="1" applyFill="1" applyBorder="1" applyAlignment="1">
      <alignment horizontal="left" vertical="center"/>
    </xf>
    <xf fontId="14" fillId="3" borderId="33" numFmtId="0" xfId="0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horizontal="right" vertical="center" wrapText="1"/>
    </xf>
    <xf fontId="14" fillId="3" borderId="34" numFmtId="164" xfId="0" applyNumberFormat="1" applyFont="1" applyFill="1" applyBorder="1" applyAlignment="1">
      <alignment horizontal="right" vertical="center" wrapText="1"/>
    </xf>
    <xf fontId="14" fillId="3" borderId="40" numFmtId="164" xfId="0" applyNumberFormat="1" applyFont="1" applyFill="1" applyBorder="1" applyAlignment="1">
      <alignment horizontal="right" vertical="center" wrapText="1"/>
    </xf>
    <xf fontId="7" fillId="3" borderId="15" numFmtId="49" xfId="0" applyNumberFormat="1" applyFont="1" applyFill="1" applyBorder="1" applyAlignment="1">
      <alignment horizontal="left" vertical="center"/>
    </xf>
    <xf fontId="5" fillId="3" borderId="16" numFmtId="165" xfId="0" applyNumberFormat="1" applyFont="1" applyFill="1" applyBorder="1" applyAlignment="1">
      <alignment vertical="center" wrapText="1"/>
    </xf>
    <xf fontId="5" fillId="3" borderId="20" numFmtId="165" xfId="0" applyNumberFormat="1" applyFont="1" applyFill="1" applyBorder="1" applyAlignment="1">
      <alignment horizontal="left" vertical="center" wrapText="1"/>
    </xf>
    <xf fontId="5" fillId="3" borderId="20" numFmtId="0" xfId="0" applyFont="1" applyFill="1" applyBorder="1" applyAlignment="1">
      <alignment horizontal="left" vertical="center" wrapText="1"/>
    </xf>
    <xf fontId="13" fillId="3" borderId="28" numFmtId="49" xfId="0" applyNumberFormat="1" applyFont="1" applyFill="1" applyBorder="1" applyAlignment="1">
      <alignment horizontal="center" vertical="center" wrapText="1"/>
    </xf>
    <xf fontId="12" fillId="3" borderId="31" numFmtId="0" xfId="0" applyFont="1" applyFill="1" applyBorder="1" applyAlignment="1">
      <alignment horizontal="center" vertical="center" wrapText="1"/>
    </xf>
    <xf fontId="9" fillId="3" borderId="20" numFmtId="0" xfId="0" applyFont="1" applyFill="1" applyBorder="1" applyAlignment="1">
      <alignment horizontal="left" vertical="center"/>
    </xf>
    <xf fontId="13" fillId="3" borderId="0" numFmtId="0" xfId="0" applyFont="1" applyFill="1" applyAlignment="1">
      <alignment horizontal="left" vertical="center" wrapText="1"/>
    </xf>
    <xf fontId="13" fillId="3" borderId="20" numFmtId="162" xfId="0" applyNumberFormat="1" applyFont="1" applyFill="1" applyBorder="1" applyAlignment="1">
      <alignment horizontal="right" vertical="center" wrapText="1"/>
    </xf>
    <xf fontId="13" fillId="3" borderId="0" numFmtId="162" xfId="0" applyNumberFormat="1" applyFont="1" applyFill="1" applyAlignment="1">
      <alignment horizontal="right" vertical="center" wrapText="1"/>
    </xf>
    <xf fontId="13" fillId="3" borderId="20" numFmtId="164" xfId="0" applyNumberFormat="1" applyFont="1" applyFill="1" applyBorder="1" applyAlignment="1">
      <alignment horizontal="right" vertical="center" wrapText="1"/>
    </xf>
    <xf fontId="13" fillId="3" borderId="0" numFmtId="164" xfId="0" applyNumberFormat="1" applyFont="1" applyFill="1" applyAlignment="1">
      <alignment horizontal="right" vertical="center" wrapText="1"/>
    </xf>
    <xf fontId="13" fillId="3" borderId="23" numFmtId="164" xfId="0" applyNumberFormat="1" applyFont="1" applyFill="1" applyBorder="1" applyAlignment="1">
      <alignment horizontal="right" vertical="center" wrapText="1"/>
    </xf>
    <xf fontId="17" fillId="3" borderId="0" numFmtId="0" xfId="0" applyFont="1" applyFill="1" applyAlignment="1">
      <alignment vertical="center"/>
    </xf>
    <xf fontId="14" fillId="3" borderId="28" numFmtId="49" xfId="0" applyNumberFormat="1" applyFont="1" applyFill="1" applyBorder="1" applyAlignment="1">
      <alignment horizontal="center" vertical="center" wrapText="1"/>
    </xf>
    <xf fontId="18" fillId="3" borderId="31" numFmtId="0" xfId="0" applyFont="1" applyFill="1" applyBorder="1" applyAlignment="1">
      <alignment horizontal="center" vertical="center" wrapText="1"/>
    </xf>
    <xf fontId="15" fillId="3" borderId="0" numFmtId="0" xfId="0" applyFont="1" applyFill="1" applyAlignment="1">
      <alignment horizontal="left" vertical="center"/>
    </xf>
    <xf fontId="17" fillId="3" borderId="5" numFmtId="0" xfId="0" applyFont="1" applyFill="1" applyBorder="1" applyAlignment="1">
      <alignment horizontal="left" vertical="center" wrapText="1"/>
    </xf>
    <xf fontId="17" fillId="3" borderId="20" numFmtId="162" xfId="0" applyNumberFormat="1" applyFont="1" applyFill="1" applyBorder="1" applyAlignment="1">
      <alignment horizontal="right" vertical="center" wrapText="1"/>
    </xf>
    <xf fontId="17" fillId="3" borderId="7" numFmtId="162" xfId="0" applyNumberFormat="1" applyFont="1" applyFill="1" applyBorder="1" applyAlignment="1">
      <alignment horizontal="right" vertical="center" wrapText="1"/>
    </xf>
    <xf fontId="17" fillId="3" borderId="6" numFmtId="162" xfId="0" applyNumberFormat="1" applyFont="1" applyFill="1" applyBorder="1" applyAlignment="1">
      <alignment horizontal="right" vertical="center" wrapText="1"/>
    </xf>
    <xf fontId="17" fillId="3" borderId="0" numFmtId="162" xfId="0" applyNumberFormat="1" applyFont="1" applyFill="1" applyAlignment="1">
      <alignment horizontal="right" vertical="center" wrapText="1"/>
    </xf>
    <xf fontId="14" fillId="3" borderId="0" numFmtId="164" xfId="0" applyNumberFormat="1" applyFont="1" applyFill="1" applyAlignment="1">
      <alignment horizontal="right" vertical="center" wrapText="1"/>
    </xf>
    <xf fontId="17" fillId="3" borderId="20" numFmtId="164" xfId="0" applyNumberFormat="1" applyFont="1" applyFill="1" applyBorder="1" applyAlignment="1">
      <alignment horizontal="right" vertical="center" wrapText="1"/>
    </xf>
    <xf fontId="17" fillId="3" borderId="22" numFmtId="164" xfId="0" applyNumberFormat="1" applyFont="1" applyFill="1" applyBorder="1" applyAlignment="1">
      <alignment horizontal="right" vertical="center" wrapText="1"/>
    </xf>
    <xf fontId="17" fillId="3" borderId="23" numFmtId="164" xfId="0" applyNumberFormat="1" applyFont="1" applyFill="1" applyBorder="1" applyAlignment="1">
      <alignment horizontal="right" vertical="center" wrapText="1"/>
    </xf>
    <xf fontId="15" fillId="3" borderId="20" numFmtId="0" xfId="0" applyFont="1" applyFill="1" applyBorder="1" applyAlignment="1">
      <alignment horizontal="left" vertical="center"/>
    </xf>
    <xf fontId="17" fillId="3" borderId="20" numFmtId="0" xfId="0" applyFont="1" applyFill="1" applyBorder="1" applyAlignment="1">
      <alignment horizontal="left" vertical="center" wrapText="1"/>
    </xf>
    <xf fontId="14" fillId="3" borderId="20" numFmtId="164" xfId="0" applyNumberFormat="1" applyFont="1" applyFill="1" applyBorder="1" applyAlignment="1">
      <alignment horizontal="right" vertical="center" wrapText="1"/>
    </xf>
    <xf fontId="17" fillId="3" borderId="0" numFmtId="164" xfId="0" applyNumberFormat="1" applyFont="1" applyFill="1" applyAlignment="1">
      <alignment horizontal="right" vertical="center" wrapText="1"/>
    </xf>
    <xf fontId="14" fillId="3" borderId="32" numFmtId="49" xfId="0" applyNumberFormat="1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left" vertical="center" wrapText="1"/>
    </xf>
    <xf fontId="5" fillId="3" borderId="5" numFmtId="165" xfId="0" applyNumberFormat="1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vertical="center" wrapText="1"/>
    </xf>
    <xf fontId="5" fillId="3" borderId="26" numFmtId="49" xfId="0" applyNumberFormat="1" applyFont="1" applyFill="1" applyBorder="1" applyAlignment="1">
      <alignment horizontal="center" vertical="center" wrapText="1"/>
    </xf>
    <xf fontId="6" fillId="3" borderId="41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vertical="center" wrapText="1"/>
    </xf>
    <xf fontId="6" fillId="3" borderId="42" numFmtId="0" xfId="0" applyFont="1" applyFill="1" applyBorder="1" applyAlignment="1">
      <alignment horizontal="center" vertical="center" wrapText="1"/>
    </xf>
    <xf fontId="19" fillId="3" borderId="20" numFmtId="165" xfId="0" applyNumberFormat="1" applyFont="1" applyFill="1" applyBorder="1" applyAlignment="1">
      <alignment horizontal="right" vertical="center" wrapText="1"/>
    </xf>
    <xf fontId="7" fillId="3" borderId="4" numFmtId="49" xfId="0" applyNumberFormat="1" applyFont="1" applyFill="1" applyBorder="1" applyAlignment="1">
      <alignment horizontal="left" vertical="center"/>
    </xf>
    <xf fontId="5" fillId="3" borderId="1" numFmtId="165" xfId="0" applyNumberFormat="1" applyFont="1" applyFill="1" applyBorder="1" applyAlignment="1">
      <alignment vertical="center" wrapText="1"/>
    </xf>
    <xf fontId="5" fillId="3" borderId="21" numFmtId="162" xfId="0" applyNumberFormat="1" applyFont="1" applyFill="1" applyBorder="1" applyAlignment="1">
      <alignment horizontal="right" vertical="center" wrapText="1"/>
    </xf>
    <xf fontId="5" fillId="3" borderId="22" numFmtId="162" xfId="0" applyNumberFormat="1" applyFont="1" applyFill="1" applyBorder="1" applyAlignment="1">
      <alignment horizontal="right" vertical="center" wrapText="1"/>
    </xf>
    <xf fontId="5" fillId="3" borderId="4" numFmtId="162" xfId="0" applyNumberFormat="1" applyFont="1" applyFill="1" applyBorder="1" applyAlignment="1">
      <alignment horizontal="right" vertical="center" wrapText="1"/>
    </xf>
    <xf fontId="5" fillId="3" borderId="43" numFmtId="49" xfId="0" applyNumberFormat="1" applyFont="1" applyFill="1" applyBorder="1" applyAlignment="1">
      <alignment horizontal="center" vertical="center" wrapText="1"/>
    </xf>
    <xf fontId="7" fillId="3" borderId="17" numFmtId="166" xfId="0" applyNumberFormat="1" applyFont="1" applyFill="1" applyBorder="1" applyAlignment="1">
      <alignment vertical="center"/>
    </xf>
    <xf fontId="5" fillId="3" borderId="17" numFmtId="164" xfId="0" applyNumberFormat="1" applyFont="1" applyFill="1" applyBorder="1" applyAlignment="1">
      <alignment horizontal="right" vertical="center" wrapText="1"/>
    </xf>
    <xf fontId="5" fillId="3" borderId="43" numFmtId="164" xfId="0" applyNumberFormat="1" applyFont="1" applyFill="1" applyBorder="1" applyAlignment="1">
      <alignment horizontal="right" vertical="center" wrapText="1"/>
    </xf>
    <xf fontId="18" fillId="3" borderId="44" numFmtId="0" xfId="0" applyFont="1" applyFill="1" applyBorder="1" applyAlignment="1">
      <alignment horizontal="center" vertical="center" wrapText="1"/>
    </xf>
    <xf fontId="14" fillId="3" borderId="23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horizontal="left" vertical="center" wrapText="1"/>
    </xf>
    <xf fontId="5" fillId="3" borderId="20" numFmtId="4" xfId="0" applyNumberFormat="1" applyFont="1" applyFill="1" applyBorder="1" applyAlignment="1">
      <alignment horizontal="right" vertical="center" wrapText="1"/>
    </xf>
    <xf fontId="5" fillId="3" borderId="0" numFmtId="4" xfId="0" applyNumberFormat="1" applyFont="1" applyFill="1" applyAlignment="1">
      <alignment horizontal="right" vertical="center" wrapText="1"/>
    </xf>
    <xf fontId="10" fillId="3" borderId="23" numFmtId="164" xfId="0" applyNumberFormat="1" applyFont="1" applyFill="1" applyBorder="1" applyAlignment="1">
      <alignment horizontal="right" vertical="center" wrapText="1"/>
    </xf>
    <xf fontId="10" fillId="3" borderId="0" numFmtId="164" xfId="0" applyNumberFormat="1" applyFont="1" applyFill="1" applyAlignment="1">
      <alignment horizontal="right" vertical="center" wrapText="1"/>
    </xf>
    <xf fontId="10" fillId="3" borderId="20" numFmtId="164" xfId="0" applyNumberFormat="1" applyFont="1" applyFill="1" applyBorder="1" applyAlignment="1">
      <alignment horizontal="right" vertical="center" wrapText="1"/>
    </xf>
    <xf fontId="14" fillId="3" borderId="39" numFmtId="0" xfId="0" applyFont="1" applyFill="1" applyBorder="1" applyAlignment="1">
      <alignment horizontal="center" vertical="center" wrapText="1"/>
    </xf>
    <xf fontId="15" fillId="3" borderId="0" numFmtId="49" xfId="0" applyNumberFormat="1" applyFont="1" applyFill="1" applyAlignment="1">
      <alignment horizontal="left" vertical="center"/>
    </xf>
    <xf fontId="14" fillId="3" borderId="4" numFmtId="0" xfId="0" applyFont="1" applyFill="1" applyBorder="1" applyAlignment="1">
      <alignment vertical="center" wrapText="1"/>
    </xf>
    <xf fontId="14" fillId="3" borderId="0" numFmtId="162" xfId="0" applyNumberFormat="1" applyFont="1" applyFill="1" applyAlignment="1">
      <alignment horizontal="right" vertical="center" wrapText="1"/>
    </xf>
    <xf fontId="14" fillId="3" borderId="4" numFmtId="164" xfId="0" applyNumberFormat="1" applyFont="1" applyFill="1" applyBorder="1" applyAlignment="1">
      <alignment horizontal="right" vertical="center" wrapText="1"/>
    </xf>
    <xf fontId="14" fillId="3" borderId="22" numFmtId="164" xfId="0" applyNumberFormat="1" applyFont="1" applyFill="1" applyBorder="1" applyAlignment="1">
      <alignment horizontal="right" vertical="center" wrapText="1"/>
    </xf>
    <xf fontId="14" fillId="3" borderId="26" numFmtId="164" xfId="0" applyNumberFormat="1" applyFont="1" applyFill="1" applyBorder="1" applyAlignment="1">
      <alignment horizontal="right" vertical="center" wrapText="1"/>
    </xf>
    <xf fontId="13" fillId="3" borderId="5" numFmtId="0" xfId="0" applyFont="1" applyFill="1" applyBorder="1" applyAlignment="1">
      <alignment vertical="center"/>
    </xf>
    <xf fontId="13" fillId="3" borderId="9" numFmtId="167" xfId="0" applyNumberFormat="1" applyFont="1" applyFill="1" applyBorder="1" applyAlignment="1">
      <alignment horizontal="center" vertical="center" wrapText="1"/>
    </xf>
    <xf fontId="9" fillId="3" borderId="10" numFmtId="167" xfId="0" applyNumberFormat="1" applyFont="1" applyFill="1" applyBorder="1" applyAlignment="1">
      <alignment horizontal="left" vertical="center"/>
    </xf>
    <xf fontId="13" fillId="3" borderId="11" numFmtId="167" xfId="0" applyNumberFormat="1" applyFont="1" applyFill="1" applyBorder="1" applyAlignment="1">
      <alignment horizontal="center" vertical="center" wrapText="1"/>
    </xf>
    <xf fontId="13" fillId="3" borderId="23" numFmtId="49" xfId="0" applyNumberFormat="1" applyFont="1" applyFill="1" applyBorder="1" applyAlignment="1">
      <alignment vertical="center" wrapText="1"/>
    </xf>
    <xf fontId="13" fillId="3" borderId="45" numFmtId="165" xfId="0" applyNumberFormat="1" applyFont="1" applyFill="1" applyBorder="1" applyAlignment="1">
      <alignment horizontal="center" vertical="center" wrapText="1"/>
    </xf>
    <xf fontId="9" fillId="3" borderId="46" numFmtId="165" xfId="0" applyNumberFormat="1" applyFont="1" applyFill="1" applyBorder="1" applyAlignment="1">
      <alignment horizontal="left" vertical="center"/>
    </xf>
    <xf fontId="13" fillId="3" borderId="18" numFmtId="165" xfId="0" applyNumberFormat="1" applyFont="1" applyFill="1" applyBorder="1" applyAlignment="1">
      <alignment horizontal="center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3" borderId="17" numFmtId="164" xfId="0" applyNumberFormat="1" applyFont="1" applyFill="1" applyBorder="1" applyAlignment="1">
      <alignment horizontal="right" vertical="center" wrapText="1"/>
    </xf>
    <xf fontId="13" fillId="3" borderId="22" numFmtId="164" xfId="0" applyNumberFormat="1" applyFont="1" applyFill="1" applyBorder="1" applyAlignment="1">
      <alignment horizontal="right" vertical="center" wrapText="1"/>
    </xf>
    <xf fontId="13" fillId="3" borderId="43" numFmtId="164" xfId="0" applyNumberFormat="1" applyFont="1" applyFill="1" applyBorder="1" applyAlignment="1">
      <alignment horizontal="right" vertical="center" wrapText="1"/>
    </xf>
    <xf fontId="5" fillId="3" borderId="24" numFmtId="49" xfId="0" applyNumberFormat="1" applyFont="1" applyFill="1" applyBorder="1" applyAlignment="1">
      <alignment horizontal="center" vertical="center" wrapText="1"/>
    </xf>
    <xf fontId="12" fillId="3" borderId="39" numFmtId="0" xfId="0" applyFont="1" applyFill="1" applyBorder="1" applyAlignment="1">
      <alignment horizontal="center" vertical="center" wrapText="1"/>
    </xf>
    <xf fontId="16" fillId="3" borderId="0" numFmtId="162" xfId="0" applyNumberFormat="1" applyFont="1" applyFill="1" applyAlignment="1">
      <alignment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16" fillId="3" borderId="5" numFmtId="162" xfId="0" applyNumberFormat="1" applyFont="1" applyFill="1" applyBorder="1" applyAlignment="1">
      <alignment vertical="center" wrapText="1"/>
    </xf>
    <xf fontId="5" fillId="3" borderId="1" numFmtId="162" xfId="0" applyNumberFormat="1" applyFont="1" applyFill="1" applyBorder="1" applyAlignment="1">
      <alignment horizontal="right" vertical="center" wrapText="1"/>
    </xf>
    <xf fontId="16" fillId="3" borderId="5" numFmtId="0" xfId="0" applyFont="1" applyFill="1" applyBorder="1" applyAlignment="1">
      <alignment horizontal="left" vertical="center" wrapText="1"/>
    </xf>
    <xf fontId="13" fillId="3" borderId="5" numFmtId="49" xfId="0" applyNumberFormat="1" applyFont="1" applyFill="1" applyBorder="1" applyAlignment="1">
      <alignment horizontal="center" vertical="center" wrapText="1"/>
    </xf>
    <xf fontId="16" fillId="3" borderId="0" numFmtId="0" xfId="0" applyFont="1" applyFill="1" applyAlignment="1">
      <alignment horizontal="left" vertical="center" wrapText="1"/>
    </xf>
    <xf fontId="7" fillId="3" borderId="18" numFmtId="49" xfId="0" applyNumberFormat="1" applyFont="1" applyFill="1" applyBorder="1" applyAlignment="1">
      <alignment horizontal="left" vertical="center"/>
    </xf>
    <xf fontId="7" fillId="3" borderId="22" numFmtId="49" xfId="0" applyNumberFormat="1" applyFont="1" applyFill="1" applyBorder="1" applyAlignment="1">
      <alignment horizontal="left" vertical="center"/>
    </xf>
    <xf fontId="16" fillId="3" borderId="0" numFmtId="165" xfId="0" applyNumberFormat="1" applyFont="1" applyFill="1" applyAlignment="1">
      <alignment vertical="center" wrapText="1"/>
    </xf>
    <xf fontId="5" fillId="3" borderId="47" numFmtId="162" xfId="0" applyNumberFormat="1" applyFont="1" applyFill="1" applyBorder="1" applyAlignment="1">
      <alignment horizontal="right" vertical="center" wrapText="1"/>
    </xf>
    <xf fontId="13" fillId="3" borderId="48" numFmtId="0" xfId="0" applyFont="1" applyFill="1" applyBorder="1" applyAlignment="1">
      <alignment vertical="center"/>
    </xf>
    <xf fontId="5" fillId="3" borderId="1" numFmtId="167" xfId="0" applyNumberFormat="1" applyFont="1" applyFill="1" applyBorder="1" applyAlignment="1">
      <alignment horizontal="left" vertical="center"/>
    </xf>
    <xf fontId="10" fillId="3" borderId="0" numFmtId="168" xfId="0" applyNumberFormat="1" applyFont="1" applyFill="1" applyAlignment="1">
      <alignment horizontal="left" vertical="center"/>
    </xf>
    <xf fontId="5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horizontal="left" vertical="center"/>
    </xf>
    <xf fontId="5" fillId="3" borderId="0" numFmtId="163" xfId="0" applyNumberFormat="1" applyFont="1" applyFill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3" style="1" width="9.140625"/>
    <col min="24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17825475.979999997</v>
      </c>
      <c r="F5" s="37">
        <f>SUM(F6:F16)</f>
        <v>28873554.000000004</v>
      </c>
      <c r="G5" s="37">
        <f>SUM(G6:G16)</f>
        <v>21855771.400000002</v>
      </c>
      <c r="H5" s="37">
        <f>SUM(H6:H16)</f>
        <v>3112209.2999999998</v>
      </c>
      <c r="I5" s="37">
        <f>SUM(I6:I16)</f>
        <v>19133354.919999998</v>
      </c>
      <c r="J5" s="37">
        <f>SUM(J6:J16)</f>
        <v>695961.66999999993</v>
      </c>
      <c r="K5" s="37">
        <f>SUM(K6:K16)</f>
        <v>1307878.9399999976</v>
      </c>
      <c r="L5" s="37">
        <f>SUM(L6:L16)</f>
        <v>-2722416.4800000018</v>
      </c>
      <c r="M5" s="37">
        <f>SUM(M6:M16)</f>
        <v>-9740199.0800000001</v>
      </c>
      <c r="N5" s="37">
        <f>SUM(N6:N16)</f>
        <v>-2416247.6299999999</v>
      </c>
      <c r="O5" s="38">
        <f t="shared" ref="O5:O9" si="0">IFERROR(I5/E5,"")</f>
        <v>1.0733713333359192</v>
      </c>
      <c r="P5" s="39">
        <f t="shared" ref="P5:P9" si="1">IFERROR(J5/H5,"")</f>
        <v>0.22362302882392901</v>
      </c>
      <c r="Q5" s="40">
        <f t="shared" ref="Q5:Q9" si="2">IFERROR(I5/G5,"")</f>
        <v>0.87543718177799001</v>
      </c>
      <c r="R5" s="41">
        <f t="shared" ref="R5:R9" si="3">IFERROR(I5/F5,"")</f>
        <v>0.66266019486205252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13657782.220000001</v>
      </c>
      <c r="F6" s="47">
        <f>22841274.9-1013674.9</f>
        <v>21827600</v>
      </c>
      <c r="G6" s="48">
        <v>16795799.5</v>
      </c>
      <c r="H6" s="46">
        <v>1909976.3</v>
      </c>
      <c r="I6" s="46">
        <v>15008544.889999999</v>
      </c>
      <c r="J6" s="46">
        <v>479026.71000000002</v>
      </c>
      <c r="K6" s="49">
        <f t="shared" ref="K6:K9" si="4">I6-E6</f>
        <v>1350762.6699999981</v>
      </c>
      <c r="L6" s="50">
        <f t="shared" ref="L6:L9" si="5">I6-G6</f>
        <v>-1787254.6100000013</v>
      </c>
      <c r="M6" s="46">
        <f t="shared" ref="M6:M9" si="6">I6-F6</f>
        <v>-6819055.1100000013</v>
      </c>
      <c r="N6" s="46">
        <f t="shared" ref="N6:N9" si="7">J6-H6</f>
        <v>-1430949.5900000001</v>
      </c>
      <c r="O6" s="51">
        <f t="shared" si="0"/>
        <v>1.0989005863647456</v>
      </c>
      <c r="P6" s="52">
        <f t="shared" si="1"/>
        <v>0.25080243665850721</v>
      </c>
      <c r="Q6" s="51">
        <f t="shared" si="2"/>
        <v>0.89358919115460977</v>
      </c>
      <c r="R6" s="53">
        <f t="shared" si="3"/>
        <v>0.68759482902380464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62654.25</v>
      </c>
      <c r="F7" s="59">
        <v>58676</v>
      </c>
      <c r="G7" s="59">
        <v>48744</v>
      </c>
      <c r="H7" s="58">
        <v>4914.5</v>
      </c>
      <c r="I7" s="46">
        <v>46329.050000000003</v>
      </c>
      <c r="J7" s="46">
        <v>0</v>
      </c>
      <c r="K7" s="60">
        <f t="shared" si="4"/>
        <v>-16325.199999999997</v>
      </c>
      <c r="L7" s="58">
        <f t="shared" si="5"/>
        <v>-2414.9499999999971</v>
      </c>
      <c r="M7" s="61">
        <f t="shared" si="6"/>
        <v>-12346.949999999997</v>
      </c>
      <c r="N7" s="58">
        <f t="shared" si="7"/>
        <v>-4914.5</v>
      </c>
      <c r="O7" s="62">
        <f t="shared" si="0"/>
        <v>0.73943986241954862</v>
      </c>
      <c r="P7" s="63">
        <f t="shared" si="1"/>
        <v>0</v>
      </c>
      <c r="Q7" s="64">
        <f t="shared" si="2"/>
        <v>0.95045646643689485</v>
      </c>
      <c r="R7" s="65">
        <f t="shared" si="3"/>
        <v>0.78957410184743337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18885.790000000001</v>
      </c>
      <c r="F8" s="59">
        <v>38381</v>
      </c>
      <c r="G8" s="59">
        <v>37900</v>
      </c>
      <c r="H8" s="58">
        <v>10700</v>
      </c>
      <c r="I8" s="46">
        <v>31380</v>
      </c>
      <c r="J8" s="46">
        <v>0</v>
      </c>
      <c r="K8" s="58">
        <f t="shared" si="4"/>
        <v>12494.209999999999</v>
      </c>
      <c r="L8" s="58">
        <f t="shared" si="5"/>
        <v>-6520</v>
      </c>
      <c r="M8" s="58">
        <f t="shared" si="6"/>
        <v>-7001</v>
      </c>
      <c r="N8" s="60">
        <f t="shared" si="7"/>
        <v>-10700</v>
      </c>
      <c r="O8" s="63">
        <f t="shared" si="0"/>
        <v>1.6615667123270987</v>
      </c>
      <c r="P8" s="62">
        <f t="shared" si="1"/>
        <v>0</v>
      </c>
      <c r="Q8" s="63">
        <f t="shared" si="2"/>
        <v>0.82796833773087075</v>
      </c>
      <c r="R8" s="65">
        <f t="shared" si="3"/>
        <v>0.81759203772700029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942419.56999999995</v>
      </c>
      <c r="F9" s="59">
        <v>1319195.1000000001</v>
      </c>
      <c r="G9" s="59">
        <v>1253700</v>
      </c>
      <c r="H9" s="58">
        <v>250400</v>
      </c>
      <c r="I9" s="46">
        <v>965788.7699999999</v>
      </c>
      <c r="J9" s="46">
        <v>1281.26</v>
      </c>
      <c r="K9" s="58">
        <f t="shared" si="4"/>
        <v>23369.199999999953</v>
      </c>
      <c r="L9" s="58">
        <f t="shared" si="5"/>
        <v>-287911.2300000001</v>
      </c>
      <c r="M9" s="61">
        <f t="shared" si="6"/>
        <v>-353406.33000000019</v>
      </c>
      <c r="N9" s="58">
        <f t="shared" si="7"/>
        <v>-249118.73999999999</v>
      </c>
      <c r="O9" s="62">
        <f t="shared" si="0"/>
        <v>1.0247970232621548</v>
      </c>
      <c r="P9" s="63">
        <f t="shared" si="1"/>
        <v>0.00511685303514377</v>
      </c>
      <c r="Q9" s="64">
        <f t="shared" si="2"/>
        <v>0.77035077769801386</v>
      </c>
      <c r="R9" s="65">
        <f t="shared" si="3"/>
        <v>0.73210457649516725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265.69</v>
      </c>
      <c r="F10" s="59">
        <v>0</v>
      </c>
      <c r="G10" s="59">
        <v>0</v>
      </c>
      <c r="H10" s="58">
        <v>0</v>
      </c>
      <c r="I10" s="46">
        <v>232.91999999999999</v>
      </c>
      <c r="J10" s="46">
        <v>6.3099999999999996</v>
      </c>
      <c r="K10" s="58">
        <f t="shared" ref="K10:K47" si="8">I10-E10</f>
        <v>-32.77000000000001</v>
      </c>
      <c r="L10" s="58">
        <f t="shared" ref="L10:L73" si="9">I10-G10</f>
        <v>232.91999999999999</v>
      </c>
      <c r="M10" s="58">
        <f t="shared" ref="M10:M47" si="10">I10-F10</f>
        <v>232.91999999999999</v>
      </c>
      <c r="N10" s="60">
        <f t="shared" ref="N10:N47" si="11">J10-H10</f>
        <v>6.3099999999999996</v>
      </c>
      <c r="O10" s="63">
        <f t="shared" ref="O10:O73" si="12">IFERROR(I10/E10,"")</f>
        <v>0.87666077007038279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0</v>
      </c>
      <c r="I11" s="46">
        <v>821.69000000000005</v>
      </c>
      <c r="J11" s="46">
        <v>0</v>
      </c>
      <c r="K11" s="58">
        <f t="shared" si="8"/>
        <v>-375.32999999999993</v>
      </c>
      <c r="L11" s="58">
        <f t="shared" si="9"/>
        <v>-693.6099999999999</v>
      </c>
      <c r="M11" s="61">
        <f t="shared" si="10"/>
        <v>-693.6099999999999</v>
      </c>
      <c r="N11" s="58">
        <f t="shared" si="11"/>
        <v>0</v>
      </c>
      <c r="O11" s="62">
        <f t="shared" si="12"/>
        <v>0.68644634174867591</v>
      </c>
      <c r="P11" s="63" t="str">
        <f t="shared" si="13"/>
        <v/>
      </c>
      <c r="Q11" s="64">
        <f t="shared" si="14"/>
        <v>0.54226225829868679</v>
      </c>
      <c r="R11" s="65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362840.65000000002</v>
      </c>
      <c r="F12" s="59">
        <v>446509.79999999999</v>
      </c>
      <c r="G12" s="59">
        <v>191215.60000000001</v>
      </c>
      <c r="H12" s="58">
        <v>10000</v>
      </c>
      <c r="I12" s="46">
        <v>187685.37000000002</v>
      </c>
      <c r="J12" s="46">
        <v>13117.109999999999</v>
      </c>
      <c r="K12" s="58">
        <f t="shared" si="8"/>
        <v>-175155.28</v>
      </c>
      <c r="L12" s="58">
        <f t="shared" si="9"/>
        <v>-3530.2299999999814</v>
      </c>
      <c r="M12" s="58">
        <f t="shared" si="10"/>
        <v>-258824.42999999996</v>
      </c>
      <c r="N12" s="60">
        <f t="shared" si="11"/>
        <v>3117.1099999999988</v>
      </c>
      <c r="O12" s="63">
        <f t="shared" si="12"/>
        <v>0.51726665686438389</v>
      </c>
      <c r="P12" s="62">
        <f t="shared" si="13"/>
        <v>1.3117109999999998</v>
      </c>
      <c r="Q12" s="63">
        <f t="shared" si="14"/>
        <v>0.98153796029194285</v>
      </c>
      <c r="R12" s="65">
        <f t="shared" si="15"/>
        <v>0.42033874732424692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469709.03000000003</v>
      </c>
      <c r="F13" s="59">
        <v>1866643.8</v>
      </c>
      <c r="G13" s="59">
        <v>584000</v>
      </c>
      <c r="H13" s="58">
        <v>270000</v>
      </c>
      <c r="I13" s="46">
        <v>520457.94999999995</v>
      </c>
      <c r="J13" s="46">
        <v>157097.72</v>
      </c>
      <c r="K13" s="58">
        <f t="shared" si="8"/>
        <v>50748.919999999925</v>
      </c>
      <c r="L13" s="58">
        <f t="shared" si="9"/>
        <v>-63542.050000000047</v>
      </c>
      <c r="M13" s="61">
        <f t="shared" si="10"/>
        <v>-1346185.8500000001</v>
      </c>
      <c r="N13" s="58">
        <f t="shared" si="11"/>
        <v>-112902.28</v>
      </c>
      <c r="O13" s="62">
        <f t="shared" si="12"/>
        <v>1.1080433135381704</v>
      </c>
      <c r="P13" s="63">
        <f t="shared" si="13"/>
        <v>0.58184340740740736</v>
      </c>
      <c r="Q13" s="64">
        <f t="shared" si="14"/>
        <v>0.89119511986301359</v>
      </c>
      <c r="R13" s="65">
        <f t="shared" si="15"/>
        <v>0.27882017447570873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1802723.49</v>
      </c>
      <c r="F14" s="59">
        <v>2628818</v>
      </c>
      <c r="G14" s="59">
        <v>2381000</v>
      </c>
      <c r="H14" s="58">
        <v>594000</v>
      </c>
      <c r="I14" s="46">
        <v>1832023.1399999999</v>
      </c>
      <c r="J14" s="46">
        <v>25792.32</v>
      </c>
      <c r="K14" s="58">
        <f t="shared" si="8"/>
        <v>29299.649999999907</v>
      </c>
      <c r="L14" s="58">
        <f t="shared" si="9"/>
        <v>-548976.8600000001</v>
      </c>
      <c r="M14" s="58">
        <f t="shared" si="10"/>
        <v>-796794.8600000001</v>
      </c>
      <c r="N14" s="60">
        <f t="shared" si="11"/>
        <v>-568207.68000000005</v>
      </c>
      <c r="O14" s="63">
        <f t="shared" si="12"/>
        <v>1.0162529917441747</v>
      </c>
      <c r="P14" s="62">
        <f t="shared" si="13"/>
        <v>0.043421414141414143</v>
      </c>
      <c r="Q14" s="63">
        <f t="shared" si="14"/>
        <v>0.76943433011339768</v>
      </c>
      <c r="R14" s="65">
        <f t="shared" si="15"/>
        <v>0.69689995275443184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506998.27000000002</v>
      </c>
      <c r="F15" s="59">
        <v>686215</v>
      </c>
      <c r="G15" s="59">
        <v>561897</v>
      </c>
      <c r="H15" s="58">
        <v>62218.5</v>
      </c>
      <c r="I15" s="46">
        <v>540091.14000000001</v>
      </c>
      <c r="J15" s="46">
        <v>19640.240000000002</v>
      </c>
      <c r="K15" s="58">
        <f t="shared" si="8"/>
        <v>33092.869999999995</v>
      </c>
      <c r="L15" s="58">
        <f t="shared" si="9"/>
        <v>-21805.859999999986</v>
      </c>
      <c r="M15" s="58">
        <f t="shared" si="10"/>
        <v>-146123.85999999999</v>
      </c>
      <c r="N15" s="58">
        <f t="shared" si="11"/>
        <v>-42578.259999999995</v>
      </c>
      <c r="O15" s="63">
        <f t="shared" si="12"/>
        <v>1.0652721556623852</v>
      </c>
      <c r="P15" s="63">
        <f t="shared" si="13"/>
        <v>0.31566559785272874</v>
      </c>
      <c r="Q15" s="63">
        <f t="shared" si="14"/>
        <v>0.96119242494620905</v>
      </c>
      <c r="R15" s="65">
        <f t="shared" si="15"/>
        <v>0.78705819604642857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46">
        <v>0</v>
      </c>
      <c r="J16" s="46">
        <v>0</v>
      </c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5968001.0899999989</v>
      </c>
      <c r="F17" s="37">
        <f>F21+F25+F34+F48+F56+F59+F62+F71</f>
        <v>8233641.5399999991</v>
      </c>
      <c r="G17" s="37">
        <f>G21+G25+G34+G48+G56+G59+G62+G71</f>
        <v>6774672.9799999986</v>
      </c>
      <c r="H17" s="37">
        <f>H21+H25+H34+H48+H56+H59+H62+H71</f>
        <v>769067.01000000001</v>
      </c>
      <c r="I17" s="37">
        <f>I21+I25+I34+I48+I56+I59+I62+I71</f>
        <v>6698750.6599999992</v>
      </c>
      <c r="J17" s="37">
        <f>J21+J25+J34+J48+J56+J59+J62+J71</f>
        <v>198822.37999999998</v>
      </c>
      <c r="K17" s="37">
        <f t="shared" si="8"/>
        <v>730749.5700000003</v>
      </c>
      <c r="L17" s="78">
        <f t="shared" si="9"/>
        <v>-75922.319999999367</v>
      </c>
      <c r="M17" s="79">
        <f t="shared" si="10"/>
        <v>-1534890.8799999999</v>
      </c>
      <c r="N17" s="37">
        <f t="shared" si="11"/>
        <v>-570244.63</v>
      </c>
      <c r="O17" s="38">
        <f t="shared" si="12"/>
        <v>1.1224446106795198</v>
      </c>
      <c r="P17" s="39">
        <f t="shared" si="13"/>
        <v>0.25852413042655409</v>
      </c>
      <c r="Q17" s="40">
        <f t="shared" si="14"/>
        <v>0.9887932125692066</v>
      </c>
      <c r="R17" s="41">
        <f t="shared" si="15"/>
        <v>0.81358298481378877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224948.12</v>
      </c>
      <c r="F18" s="49">
        <f>295538.8+75672.2</f>
        <v>371211</v>
      </c>
      <c r="G18" s="49">
        <v>305211</v>
      </c>
      <c r="H18" s="49">
        <v>33000</v>
      </c>
      <c r="I18" s="46">
        <v>294314.35999999999</v>
      </c>
      <c r="J18" s="46">
        <v>11051.4</v>
      </c>
      <c r="K18" s="50">
        <f t="shared" si="8"/>
        <v>69366.239999999991</v>
      </c>
      <c r="L18" s="49">
        <f t="shared" si="9"/>
        <v>-10896.640000000014</v>
      </c>
      <c r="M18" s="49">
        <f t="shared" si="10"/>
        <v>-76896.640000000014</v>
      </c>
      <c r="N18" s="84">
        <f t="shared" si="11"/>
        <v>-21948.599999999999</v>
      </c>
      <c r="O18" s="51">
        <f t="shared" si="12"/>
        <v>1.308365502232248</v>
      </c>
      <c r="P18" s="52">
        <f t="shared" si="13"/>
        <v>0.33489090909090907</v>
      </c>
      <c r="Q18" s="51">
        <f t="shared" si="14"/>
        <v>0.96429801022898909</v>
      </c>
      <c r="R18" s="53">
        <f t="shared" si="15"/>
        <v>0.79284924207526175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194409.72</v>
      </c>
      <c r="F20" s="88">
        <v>365019.5</v>
      </c>
      <c r="G20" s="88">
        <v>304019.5</v>
      </c>
      <c r="H20" s="90">
        <v>30600</v>
      </c>
      <c r="I20" s="46">
        <v>326841.69999999995</v>
      </c>
      <c r="J20" s="46">
        <v>12608.379999999999</v>
      </c>
      <c r="K20" s="88">
        <f t="shared" si="8"/>
        <v>132431.97999999995</v>
      </c>
      <c r="L20" s="88">
        <f t="shared" si="9"/>
        <v>22822.199999999953</v>
      </c>
      <c r="M20" s="88">
        <f t="shared" si="10"/>
        <v>-38177.800000000047</v>
      </c>
      <c r="N20" s="88">
        <f t="shared" si="11"/>
        <v>-17991.620000000003</v>
      </c>
      <c r="O20" s="63">
        <f t="shared" si="12"/>
        <v>1.681200405000326</v>
      </c>
      <c r="P20" s="62">
        <f t="shared" si="13"/>
        <v>0.41203856209150325</v>
      </c>
      <c r="Q20" s="63">
        <f t="shared" si="14"/>
        <v>1.0750682110851442</v>
      </c>
      <c r="R20" s="65">
        <f t="shared" si="15"/>
        <v>0.89540887541624481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420004.83999999997</v>
      </c>
      <c r="F21" s="96">
        <f>SUM(F18:F20)</f>
        <v>736230.5</v>
      </c>
      <c r="G21" s="96">
        <f>SUM(G18:G20)</f>
        <v>609230.5</v>
      </c>
      <c r="H21" s="96">
        <f>SUM(H18:H20)</f>
        <v>63600</v>
      </c>
      <c r="I21" s="96">
        <f>SUM(I18:I20)</f>
        <v>621156.05999999994</v>
      </c>
      <c r="J21" s="96">
        <f>SUM(J18:J20)</f>
        <v>23659.779999999999</v>
      </c>
      <c r="K21" s="96">
        <f t="shared" si="8"/>
        <v>201151.21999999997</v>
      </c>
      <c r="L21" s="96">
        <f t="shared" si="9"/>
        <v>11925.559999999939</v>
      </c>
      <c r="M21" s="97">
        <f t="shared" si="10"/>
        <v>-115074.44000000006</v>
      </c>
      <c r="N21" s="97">
        <f t="shared" si="11"/>
        <v>-39940.220000000001</v>
      </c>
      <c r="O21" s="98">
        <f t="shared" si="12"/>
        <v>1.4789259571389701</v>
      </c>
      <c r="P21" s="98">
        <f t="shared" si="13"/>
        <v>0.37200911949685533</v>
      </c>
      <c r="Q21" s="98">
        <f t="shared" si="14"/>
        <v>1.0195747914787587</v>
      </c>
      <c r="R21" s="99">
        <f t="shared" si="15"/>
        <v>0.84369780931379501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100116.5</v>
      </c>
      <c r="F22" s="103">
        <v>119058.5</v>
      </c>
      <c r="G22" s="103">
        <v>91535.899999999994</v>
      </c>
      <c r="H22" s="49">
        <v>10864</v>
      </c>
      <c r="I22" s="46">
        <v>98845.679999999993</v>
      </c>
      <c r="J22" s="46">
        <v>10658.26</v>
      </c>
      <c r="K22" s="49">
        <f t="shared" si="8"/>
        <v>-1270.820000000007</v>
      </c>
      <c r="L22" s="49">
        <f t="shared" si="9"/>
        <v>7309.7799999999988</v>
      </c>
      <c r="M22" s="49">
        <f t="shared" si="10"/>
        <v>-20212.820000000007</v>
      </c>
      <c r="N22" s="49">
        <f t="shared" si="11"/>
        <v>-205.73999999999978</v>
      </c>
      <c r="O22" s="52">
        <f t="shared" si="12"/>
        <v>0.98730658782518355</v>
      </c>
      <c r="P22" s="51">
        <f t="shared" si="13"/>
        <v>0.98106222385861563</v>
      </c>
      <c r="Q22" s="104">
        <f t="shared" si="14"/>
        <v>1.0798569741489406</v>
      </c>
      <c r="R22" s="53">
        <f t="shared" si="15"/>
        <v>0.83022782917641325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12691.83</v>
      </c>
      <c r="F23" s="107">
        <v>10589.6</v>
      </c>
      <c r="G23" s="107">
        <v>9381</v>
      </c>
      <c r="H23" s="88">
        <v>2341.5</v>
      </c>
      <c r="I23" s="46">
        <v>10911.799999999999</v>
      </c>
      <c r="J23" s="46">
        <v>954.32999999999993</v>
      </c>
      <c r="K23" s="88">
        <f t="shared" si="8"/>
        <v>-1780.0300000000007</v>
      </c>
      <c r="L23" s="88">
        <f t="shared" si="9"/>
        <v>1530.7999999999993</v>
      </c>
      <c r="M23" s="88">
        <f t="shared" si="10"/>
        <v>322.19999999999891</v>
      </c>
      <c r="N23" s="47">
        <f t="shared" si="11"/>
        <v>-1387.1700000000001</v>
      </c>
      <c r="O23" s="63">
        <f t="shared" si="12"/>
        <v>0.85974993361871377</v>
      </c>
      <c r="P23" s="63">
        <f t="shared" si="13"/>
        <v>0.40757206918641892</v>
      </c>
      <c r="Q23" s="63">
        <f t="shared" si="14"/>
        <v>1.1631808975588955</v>
      </c>
      <c r="R23" s="65">
        <f t="shared" si="15"/>
        <v>1.0304260784165595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2170.6300000000001</v>
      </c>
      <c r="F24" s="107">
        <v>2512.1999999999998</v>
      </c>
      <c r="G24" s="107">
        <v>2004</v>
      </c>
      <c r="H24" s="107">
        <v>234</v>
      </c>
      <c r="I24" s="46">
        <v>1863.8099999999999</v>
      </c>
      <c r="J24" s="46">
        <v>1.01</v>
      </c>
      <c r="K24" s="88">
        <f t="shared" si="8"/>
        <v>-306.82000000000016</v>
      </c>
      <c r="L24" s="88">
        <f t="shared" si="9"/>
        <v>-140.19000000000005</v>
      </c>
      <c r="M24" s="88">
        <f t="shared" si="10"/>
        <v>-648.38999999999987</v>
      </c>
      <c r="N24" s="107">
        <f t="shared" si="11"/>
        <v>-232.99000000000001</v>
      </c>
      <c r="O24" s="63">
        <f t="shared" si="12"/>
        <v>0.85864933222152084</v>
      </c>
      <c r="P24" s="62">
        <f t="shared" si="13"/>
        <v>0.0043162393162393163</v>
      </c>
      <c r="Q24" s="63">
        <f t="shared" si="14"/>
        <v>0.93004491017964064</v>
      </c>
      <c r="R24" s="65">
        <f t="shared" si="15"/>
        <v>0.74190351086696926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114978.96000000001</v>
      </c>
      <c r="F25" s="96">
        <f>F22+F23+F24</f>
        <v>132160.30000000002</v>
      </c>
      <c r="G25" s="96">
        <f>G22+G23+G24</f>
        <v>102920.89999999999</v>
      </c>
      <c r="H25" s="96">
        <f>H22+H23+H24</f>
        <v>13439.5</v>
      </c>
      <c r="I25" s="96">
        <f>I22+I23+I24</f>
        <v>111621.28999999999</v>
      </c>
      <c r="J25" s="96">
        <f>J22+J23+J24</f>
        <v>11613.6</v>
      </c>
      <c r="K25" s="96">
        <f t="shared" si="8"/>
        <v>-3357.6700000000128</v>
      </c>
      <c r="L25" s="96">
        <f t="shared" si="9"/>
        <v>8700.3899999999994</v>
      </c>
      <c r="M25" s="115">
        <f t="shared" si="10"/>
        <v>-20539.010000000024</v>
      </c>
      <c r="N25" s="96">
        <f t="shared" si="11"/>
        <v>-1825.8999999999996</v>
      </c>
      <c r="O25" s="116">
        <f t="shared" si="12"/>
        <v>0.97079752678229114</v>
      </c>
      <c r="P25" s="98">
        <f t="shared" si="13"/>
        <v>0.86413929089623875</v>
      </c>
      <c r="Q25" s="117">
        <f t="shared" si="14"/>
        <v>1.0845347252113031</v>
      </c>
      <c r="R25" s="99">
        <f t="shared" si="15"/>
        <v>0.84459016815185783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62028.849999999999</v>
      </c>
      <c r="F27" s="107">
        <v>85184</v>
      </c>
      <c r="G27" s="107">
        <v>63900</v>
      </c>
      <c r="H27" s="88">
        <v>6400</v>
      </c>
      <c r="I27" s="46">
        <v>58654.960000000006</v>
      </c>
      <c r="J27" s="46">
        <v>1246.5599999999999</v>
      </c>
      <c r="K27" s="88">
        <f t="shared" si="8"/>
        <v>-3373.8899999999921</v>
      </c>
      <c r="L27" s="88">
        <f t="shared" si="9"/>
        <v>-5245.0399999999936</v>
      </c>
      <c r="M27" s="47">
        <f t="shared" si="10"/>
        <v>-26529.039999999994</v>
      </c>
      <c r="N27" s="88">
        <f t="shared" si="11"/>
        <v>-5153.4400000000005</v>
      </c>
      <c r="O27" s="62">
        <f t="shared" si="12"/>
        <v>0.94560772930660508</v>
      </c>
      <c r="P27" s="63">
        <f t="shared" si="13"/>
        <v>0.194775</v>
      </c>
      <c r="Q27" s="64">
        <f t="shared" si="14"/>
        <v>0.91791799687010966</v>
      </c>
      <c r="R27" s="65">
        <f t="shared" si="15"/>
        <v>0.68856780616078139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1017.3200000000001</v>
      </c>
      <c r="F28" s="107">
        <v>557</v>
      </c>
      <c r="G28" s="107">
        <v>464.10000000000002</v>
      </c>
      <c r="H28" s="47">
        <v>46.399999999999999</v>
      </c>
      <c r="I28" s="46">
        <v>726.01999999999998</v>
      </c>
      <c r="J28" s="46">
        <v>292.05000000000001</v>
      </c>
      <c r="K28" s="88">
        <f t="shared" si="8"/>
        <v>-291.30000000000007</v>
      </c>
      <c r="L28" s="47">
        <f t="shared" si="9"/>
        <v>261.91999999999996</v>
      </c>
      <c r="M28" s="88">
        <f t="shared" si="10"/>
        <v>169.01999999999998</v>
      </c>
      <c r="N28" s="88">
        <f t="shared" si="11"/>
        <v>245.65000000000001</v>
      </c>
      <c r="O28" s="63">
        <f t="shared" si="12"/>
        <v>0.71365941886525375</v>
      </c>
      <c r="P28" s="62">
        <f t="shared" si="13"/>
        <v>6.2941810344827589</v>
      </c>
      <c r="Q28" s="63">
        <f t="shared" si="14"/>
        <v>1.5643611290670114</v>
      </c>
      <c r="R28" s="65">
        <f t="shared" si="15"/>
        <v>1.3034470377019749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0</v>
      </c>
      <c r="F29" s="88">
        <v>11082.299999999999</v>
      </c>
      <c r="G29" s="88">
        <v>5100</v>
      </c>
      <c r="H29" s="90">
        <v>4000</v>
      </c>
      <c r="I29" s="46">
        <v>1302</v>
      </c>
      <c r="J29" s="46">
        <v>1302</v>
      </c>
      <c r="K29" s="88">
        <f t="shared" si="8"/>
        <v>1302</v>
      </c>
      <c r="L29" s="88">
        <f t="shared" si="9"/>
        <v>-3798</v>
      </c>
      <c r="M29" s="47">
        <f t="shared" si="10"/>
        <v>-9780.2999999999993</v>
      </c>
      <c r="N29" s="88">
        <f t="shared" si="11"/>
        <v>-2698</v>
      </c>
      <c r="O29" s="62" t="str">
        <f t="shared" si="12"/>
        <v/>
      </c>
      <c r="P29" s="63">
        <f t="shared" si="13"/>
        <v>0.32550000000000001</v>
      </c>
      <c r="Q29" s="64">
        <f t="shared" si="14"/>
        <v>0.25529411764705884</v>
      </c>
      <c r="R29" s="65">
        <f t="shared" si="15"/>
        <v>0.11748463766546656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88438.720000000001</v>
      </c>
      <c r="F30" s="126">
        <f>F31+F33+F32</f>
        <v>50575.799999999996</v>
      </c>
      <c r="G30" s="126">
        <f>G31+G33+G32</f>
        <v>45878.099999999999</v>
      </c>
      <c r="H30" s="126">
        <f>H31+H33+H32</f>
        <v>9494.7000000000007</v>
      </c>
      <c r="I30" s="126">
        <f>I31+I33+I32</f>
        <v>55266.849999999999</v>
      </c>
      <c r="J30" s="126">
        <f>J31+J33+J32</f>
        <v>-106.67000000000002</v>
      </c>
      <c r="K30" s="126">
        <f t="shared" si="8"/>
        <v>-33171.870000000003</v>
      </c>
      <c r="L30" s="127">
        <f t="shared" si="9"/>
        <v>9388.75</v>
      </c>
      <c r="M30" s="126">
        <f t="shared" si="10"/>
        <v>4691.0500000000029</v>
      </c>
      <c r="N30" s="127">
        <f t="shared" si="11"/>
        <v>-9601.3700000000008</v>
      </c>
      <c r="O30" s="128">
        <f t="shared" si="12"/>
        <v>0.62491689160584862</v>
      </c>
      <c r="P30" s="129">
        <f t="shared" si="13"/>
        <v>-0.011234688826397886</v>
      </c>
      <c r="Q30" s="128">
        <f t="shared" si="14"/>
        <v>1.2046455716343965</v>
      </c>
      <c r="R30" s="130">
        <f t="shared" si="15"/>
        <v>1.0927528580862784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60428.559999999998</v>
      </c>
      <c r="F31" s="137">
        <v>21192.900000000001</v>
      </c>
      <c r="G31" s="137">
        <v>20977.599999999999</v>
      </c>
      <c r="H31" s="138">
        <v>7125</v>
      </c>
      <c r="I31" s="46">
        <v>24743.650000000001</v>
      </c>
      <c r="J31" s="46">
        <v>-585.75999999999999</v>
      </c>
      <c r="K31" s="136">
        <f t="shared" si="8"/>
        <v>-35684.909999999996</v>
      </c>
      <c r="L31" s="136">
        <f t="shared" si="9"/>
        <v>3766.0500000000029</v>
      </c>
      <c r="M31" s="139">
        <f t="shared" si="10"/>
        <v>3550.75</v>
      </c>
      <c r="N31" s="136">
        <f t="shared" si="11"/>
        <v>-7710.7600000000002</v>
      </c>
      <c r="O31" s="140">
        <f t="shared" si="12"/>
        <v>0.40946946278382279</v>
      </c>
      <c r="P31" s="141">
        <f t="shared" si="13"/>
        <v>-0.082211929824561408</v>
      </c>
      <c r="Q31" s="142">
        <f t="shared" si="14"/>
        <v>1.1795272099763559</v>
      </c>
      <c r="R31" s="143">
        <f t="shared" si="15"/>
        <v>1.1675443190879964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4" t="s">
        <v>77</v>
      </c>
      <c r="D32" s="145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46">
        <v>1351.29</v>
      </c>
      <c r="J32" s="46">
        <v>0</v>
      </c>
      <c r="K32" s="136">
        <f t="shared" si="8"/>
        <v>1351.29</v>
      </c>
      <c r="L32" s="139">
        <f t="shared" si="9"/>
        <v>1192.1900000000001</v>
      </c>
      <c r="M32" s="136">
        <f t="shared" si="10"/>
        <v>1192.1900000000001</v>
      </c>
      <c r="N32" s="139">
        <f t="shared" si="11"/>
        <v>0</v>
      </c>
      <c r="O32" s="146" t="str">
        <f t="shared" si="12"/>
        <v/>
      </c>
      <c r="P32" s="147" t="str">
        <f t="shared" si="13"/>
        <v/>
      </c>
      <c r="Q32" s="141">
        <f t="shared" si="14"/>
        <v>8.4933375235700819</v>
      </c>
      <c r="R32" s="143">
        <f t="shared" si="15"/>
        <v>8.4933375235700819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5" t="s">
        <v>80</v>
      </c>
      <c r="E33" s="136">
        <v>28010.16</v>
      </c>
      <c r="F33" s="137">
        <v>29223.799999999999</v>
      </c>
      <c r="G33" s="137">
        <v>24741.400000000001</v>
      </c>
      <c r="H33" s="136">
        <v>2369.6999999999998</v>
      </c>
      <c r="I33" s="46">
        <v>29171.91</v>
      </c>
      <c r="J33" s="46">
        <v>479.08999999999997</v>
      </c>
      <c r="K33" s="136">
        <f t="shared" si="8"/>
        <v>1161.75</v>
      </c>
      <c r="L33" s="136">
        <f t="shared" si="9"/>
        <v>4430.5099999999984</v>
      </c>
      <c r="M33" s="136">
        <f t="shared" si="10"/>
        <v>-51.889999999999418</v>
      </c>
      <c r="N33" s="136">
        <f t="shared" si="11"/>
        <v>-1890.6099999999999</v>
      </c>
      <c r="O33" s="140">
        <f t="shared" si="12"/>
        <v>1.0414760215578918</v>
      </c>
      <c r="P33" s="141">
        <f t="shared" si="13"/>
        <v>0.20217327087817025</v>
      </c>
      <c r="Q33" s="142">
        <f t="shared" si="14"/>
        <v>1.1790727283015512</v>
      </c>
      <c r="R33" s="143">
        <f t="shared" si="15"/>
        <v>0.99822439244725192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8"/>
      <c r="C34" s="94"/>
      <c r="D34" s="95" t="s">
        <v>56</v>
      </c>
      <c r="E34" s="96">
        <f>SUM(E26:E30)</f>
        <v>151484.89000000001</v>
      </c>
      <c r="F34" s="96">
        <f>SUM(F26:F30)</f>
        <v>147465.10000000001</v>
      </c>
      <c r="G34" s="96">
        <f>SUM(G26:G30)</f>
        <v>115408.20000000001</v>
      </c>
      <c r="H34" s="96">
        <f>SUM(H26:H30)</f>
        <v>19941.099999999999</v>
      </c>
      <c r="I34" s="96">
        <f>SUM(I26:I30)</f>
        <v>115974.49000000001</v>
      </c>
      <c r="J34" s="96">
        <f>SUM(J26:J30)</f>
        <v>2733.9399999999996</v>
      </c>
      <c r="K34" s="96">
        <f t="shared" si="8"/>
        <v>-35510.400000000009</v>
      </c>
      <c r="L34" s="115">
        <f t="shared" si="9"/>
        <v>566.2899999999936</v>
      </c>
      <c r="M34" s="96">
        <f t="shared" si="10"/>
        <v>-31490.610000000001</v>
      </c>
      <c r="N34" s="96">
        <f t="shared" si="11"/>
        <v>-17207.16</v>
      </c>
      <c r="O34" s="98">
        <f t="shared" si="12"/>
        <v>0.76558454113806329</v>
      </c>
      <c r="P34" s="116">
        <f t="shared" si="13"/>
        <v>0.1371007617433341</v>
      </c>
      <c r="Q34" s="98">
        <f t="shared" si="14"/>
        <v>1.0049068437078128</v>
      </c>
      <c r="R34" s="99">
        <f t="shared" si="15"/>
        <v>0.78645381178326257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240467.75</v>
      </c>
      <c r="F35" s="103">
        <v>306696.20000000001</v>
      </c>
      <c r="G35" s="103">
        <v>275540</v>
      </c>
      <c r="H35" s="49">
        <v>27300</v>
      </c>
      <c r="I35" s="46">
        <v>236207.59999999998</v>
      </c>
      <c r="J35" s="46">
        <v>6168.0300000000007</v>
      </c>
      <c r="K35" s="49">
        <f t="shared" si="8"/>
        <v>-4260.1500000000233</v>
      </c>
      <c r="L35" s="49">
        <f t="shared" si="9"/>
        <v>-39332.400000000023</v>
      </c>
      <c r="M35" s="50">
        <f t="shared" si="10"/>
        <v>-70488.600000000035</v>
      </c>
      <c r="N35" s="49">
        <f t="shared" si="11"/>
        <v>-21131.970000000001</v>
      </c>
      <c r="O35" s="52">
        <f t="shared" si="12"/>
        <v>0.98228390293500889</v>
      </c>
      <c r="P35" s="51">
        <f t="shared" si="13"/>
        <v>0.22593516483516485</v>
      </c>
      <c r="Q35" s="104">
        <f t="shared" si="14"/>
        <v>0.85725339333672057</v>
      </c>
      <c r="R35" s="53">
        <f t="shared" si="15"/>
        <v>0.77016800338576075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197532.44</v>
      </c>
      <c r="F36" s="107">
        <f>106559.1+35057.6</f>
        <v>141616.70000000001</v>
      </c>
      <c r="G36" s="107">
        <v>135139</v>
      </c>
      <c r="H36" s="88">
        <v>7778.5</v>
      </c>
      <c r="I36" s="46">
        <v>166632.14000000001</v>
      </c>
      <c r="J36" s="46">
        <v>-820.21000000000004</v>
      </c>
      <c r="K36" s="88">
        <f t="shared" si="8"/>
        <v>-30900.299999999988</v>
      </c>
      <c r="L36" s="47">
        <f t="shared" si="9"/>
        <v>31493.140000000014</v>
      </c>
      <c r="M36" s="88">
        <f t="shared" si="10"/>
        <v>25015.440000000002</v>
      </c>
      <c r="N36" s="88">
        <f t="shared" si="11"/>
        <v>-8598.7099999999991</v>
      </c>
      <c r="O36" s="63">
        <f t="shared" si="12"/>
        <v>0.84356847918245736</v>
      </c>
      <c r="P36" s="62">
        <f t="shared" si="13"/>
        <v>-0.10544578003471107</v>
      </c>
      <c r="Q36" s="63">
        <f t="shared" si="14"/>
        <v>1.2330425709824699</v>
      </c>
      <c r="R36" s="65">
        <f t="shared" si="15"/>
        <v>1.1766418791004167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75354.160000000003</v>
      </c>
      <c r="F37" s="107">
        <v>58127.599999999999</v>
      </c>
      <c r="G37" s="107">
        <v>51965</v>
      </c>
      <c r="H37" s="88">
        <v>5600</v>
      </c>
      <c r="I37" s="46">
        <v>61190.519999999997</v>
      </c>
      <c r="J37" s="46">
        <v>1152.2</v>
      </c>
      <c r="K37" s="88">
        <f t="shared" si="8"/>
        <v>-14163.640000000007</v>
      </c>
      <c r="L37" s="88">
        <f t="shared" si="9"/>
        <v>9225.5199999999968</v>
      </c>
      <c r="M37" s="88">
        <f t="shared" si="10"/>
        <v>3062.9199999999983</v>
      </c>
      <c r="N37" s="88">
        <f t="shared" si="11"/>
        <v>-4447.8000000000002</v>
      </c>
      <c r="O37" s="62">
        <f t="shared" si="12"/>
        <v>0.81203904336535626</v>
      </c>
      <c r="P37" s="63">
        <f t="shared" si="13"/>
        <v>0.20575000000000002</v>
      </c>
      <c r="Q37" s="64">
        <f t="shared" si="14"/>
        <v>1.1775333397479071</v>
      </c>
      <c r="R37" s="65">
        <f t="shared" si="15"/>
        <v>1.0526930408274211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12693.950000000001</v>
      </c>
      <c r="F38" s="107">
        <v>86367.300000000003</v>
      </c>
      <c r="G38" s="107">
        <v>64488.599999999999</v>
      </c>
      <c r="H38" s="88">
        <v>0</v>
      </c>
      <c r="I38" s="46">
        <v>20245.470000000001</v>
      </c>
      <c r="J38" s="46">
        <v>0</v>
      </c>
      <c r="K38" s="88">
        <f t="shared" si="8"/>
        <v>7551.5200000000004</v>
      </c>
      <c r="L38" s="88">
        <f t="shared" si="9"/>
        <v>-44243.129999999997</v>
      </c>
      <c r="M38" s="88">
        <f t="shared" si="10"/>
        <v>-66121.830000000002</v>
      </c>
      <c r="N38" s="88">
        <f t="shared" si="11"/>
        <v>0</v>
      </c>
      <c r="O38" s="63">
        <f t="shared" si="12"/>
        <v>1.5948912670996813</v>
      </c>
      <c r="P38" s="63" t="str">
        <f t="shared" si="13"/>
        <v/>
      </c>
      <c r="Q38" s="63">
        <f t="shared" si="14"/>
        <v>0.31393874266149369</v>
      </c>
      <c r="R38" s="65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2620.3200000000002</v>
      </c>
      <c r="F39" s="88">
        <v>3217.3000000000002</v>
      </c>
      <c r="G39" s="47">
        <v>2823.6999999999998</v>
      </c>
      <c r="H39" s="88">
        <v>0</v>
      </c>
      <c r="I39" s="46">
        <v>3718.9200000000001</v>
      </c>
      <c r="J39" s="46">
        <v>126.7</v>
      </c>
      <c r="K39" s="88">
        <f t="shared" si="8"/>
        <v>1098.5999999999999</v>
      </c>
      <c r="L39" s="88">
        <f t="shared" si="9"/>
        <v>895.22000000000025</v>
      </c>
      <c r="M39" s="88">
        <f t="shared" si="10"/>
        <v>501.61999999999989</v>
      </c>
      <c r="N39" s="88">
        <f t="shared" si="11"/>
        <v>126.7</v>
      </c>
      <c r="O39" s="62">
        <f t="shared" si="12"/>
        <v>1.4192617695548635</v>
      </c>
      <c r="P39" s="63" t="str">
        <f t="shared" si="13"/>
        <v/>
      </c>
      <c r="Q39" s="64">
        <f t="shared" si="14"/>
        <v>1.3170379289584588</v>
      </c>
      <c r="R39" s="65">
        <f t="shared" si="15"/>
        <v>1.1559133434867745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831.33000000000004</v>
      </c>
      <c r="F40" s="88">
        <v>0</v>
      </c>
      <c r="G40" s="88">
        <v>0</v>
      </c>
      <c r="H40" s="88">
        <v>0</v>
      </c>
      <c r="I40" s="46">
        <v>2555.3299999999999</v>
      </c>
      <c r="J40" s="46">
        <v>2.9500000000000002</v>
      </c>
      <c r="K40" s="88">
        <f t="shared" si="8"/>
        <v>1724</v>
      </c>
      <c r="L40" s="88">
        <f t="shared" si="9"/>
        <v>2555.3299999999999</v>
      </c>
      <c r="M40" s="88">
        <f t="shared" si="10"/>
        <v>2555.3299999999999</v>
      </c>
      <c r="N40" s="47">
        <f t="shared" si="11"/>
        <v>2.9500000000000002</v>
      </c>
      <c r="O40" s="63">
        <f t="shared" si="12"/>
        <v>3.0737853800536485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1730.77</v>
      </c>
      <c r="F41" s="107">
        <v>3460.9000000000001</v>
      </c>
      <c r="G41" s="107">
        <v>1824</v>
      </c>
      <c r="H41" s="88">
        <v>474</v>
      </c>
      <c r="I41" s="46">
        <v>4192.4399999999996</v>
      </c>
      <c r="J41" s="46">
        <v>119.28</v>
      </c>
      <c r="K41" s="88">
        <f t="shared" si="8"/>
        <v>2461.6699999999996</v>
      </c>
      <c r="L41" s="47">
        <f t="shared" si="9"/>
        <v>2368.4399999999996</v>
      </c>
      <c r="M41" s="88">
        <f t="shared" si="10"/>
        <v>731.53999999999951</v>
      </c>
      <c r="N41" s="88">
        <f t="shared" si="11"/>
        <v>-354.72000000000003</v>
      </c>
      <c r="O41" s="63">
        <f t="shared" si="12"/>
        <v>2.4222975900899599</v>
      </c>
      <c r="P41" s="63">
        <f t="shared" si="13"/>
        <v>0.25164556962025314</v>
      </c>
      <c r="Q41" s="63">
        <f t="shared" si="14"/>
        <v>2.2984868421052629</v>
      </c>
      <c r="R41" s="65">
        <f t="shared" si="15"/>
        <v>1.2113727643098615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128879.67</v>
      </c>
      <c r="F42" s="107">
        <v>216854</v>
      </c>
      <c r="G42" s="107">
        <v>175553.79999999999</v>
      </c>
      <c r="H42" s="88">
        <v>21200</v>
      </c>
      <c r="I42" s="46">
        <v>217288.55000000002</v>
      </c>
      <c r="J42" s="46">
        <v>4636.1999999999998</v>
      </c>
      <c r="K42" s="88">
        <f t="shared" si="8"/>
        <v>88408.880000000019</v>
      </c>
      <c r="L42" s="88">
        <f t="shared" si="9"/>
        <v>41734.750000000029</v>
      </c>
      <c r="M42" s="88">
        <f t="shared" si="10"/>
        <v>434.55000000001746</v>
      </c>
      <c r="N42" s="88">
        <f t="shared" si="11"/>
        <v>-16563.799999999999</v>
      </c>
      <c r="O42" s="62">
        <f t="shared" si="12"/>
        <v>1.6859800308303088</v>
      </c>
      <c r="P42" s="63">
        <f t="shared" si="13"/>
        <v>0.21868867924528301</v>
      </c>
      <c r="Q42" s="64">
        <f t="shared" si="14"/>
        <v>1.2377319659272543</v>
      </c>
      <c r="R42" s="65">
        <f t="shared" si="15"/>
        <v>1.0020038827967204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18706.459999999999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4342.7200000000003</v>
      </c>
      <c r="K43" s="88">
        <f t="shared" si="8"/>
        <v>11669.440000000002</v>
      </c>
      <c r="L43" s="88">
        <f t="shared" si="9"/>
        <v>0</v>
      </c>
      <c r="M43" s="88">
        <f t="shared" si="10"/>
        <v>0</v>
      </c>
      <c r="N43" s="47">
        <f t="shared" si="11"/>
        <v>4342.7200000000003</v>
      </c>
      <c r="O43" s="63">
        <f t="shared" si="12"/>
        <v>1.6238187235853285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65194.269999999997</v>
      </c>
      <c r="F44" s="107">
        <v>101764.89999999999</v>
      </c>
      <c r="G44" s="107">
        <v>79300</v>
      </c>
      <c r="H44" s="88">
        <v>11200</v>
      </c>
      <c r="I44" s="46">
        <v>60664.82</v>
      </c>
      <c r="J44" s="46">
        <v>63.799999999999997</v>
      </c>
      <c r="K44" s="88">
        <f t="shared" si="8"/>
        <v>-4529.4499999999971</v>
      </c>
      <c r="L44" s="88">
        <f t="shared" si="9"/>
        <v>-18635.18</v>
      </c>
      <c r="M44" s="88">
        <f t="shared" si="10"/>
        <v>-41100.079999999994</v>
      </c>
      <c r="N44" s="88">
        <f t="shared" si="11"/>
        <v>-11136.200000000001</v>
      </c>
      <c r="O44" s="63">
        <f t="shared" si="12"/>
        <v>0.9305238021685035</v>
      </c>
      <c r="P44" s="63">
        <f t="shared" si="13"/>
        <v>0.005696428571428571</v>
      </c>
      <c r="Q44" s="64">
        <f t="shared" si="14"/>
        <v>0.76500403530895333</v>
      </c>
      <c r="R44" s="65">
        <f t="shared" si="15"/>
        <v>0.59612715189618426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49" t="s">
        <v>101</v>
      </c>
      <c r="E45" s="88">
        <v>6495.0900000000001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-6076.7799999999997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0.064404034432163373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0" t="s">
        <v>103</v>
      </c>
      <c r="E46" s="88">
        <v>7104.3599999999997</v>
      </c>
      <c r="F46" s="107">
        <v>8380.6000000000004</v>
      </c>
      <c r="G46" s="107">
        <v>6281.3999999999996</v>
      </c>
      <c r="H46" s="88">
        <v>0</v>
      </c>
      <c r="I46" s="46">
        <v>19361.52</v>
      </c>
      <c r="J46" s="46">
        <v>237.01000000000002</v>
      </c>
      <c r="K46" s="88">
        <f t="shared" si="8"/>
        <v>12257.16</v>
      </c>
      <c r="L46" s="88">
        <f t="shared" si="9"/>
        <v>13080.120000000001</v>
      </c>
      <c r="M46" s="88">
        <f t="shared" si="10"/>
        <v>10980.92</v>
      </c>
      <c r="N46" s="88">
        <f t="shared" si="11"/>
        <v>237.01000000000002</v>
      </c>
      <c r="O46" s="62">
        <f t="shared" si="12"/>
        <v>2.7253010827154029</v>
      </c>
      <c r="P46" s="63" t="str">
        <f t="shared" si="13"/>
        <v/>
      </c>
      <c r="Q46" s="63">
        <f t="shared" si="14"/>
        <v>3.0823574362403288</v>
      </c>
      <c r="R46" s="65">
        <f t="shared" si="15"/>
        <v>2.3102785003460373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52643.389999999999</v>
      </c>
      <c r="F47" s="107">
        <v>77364.100000000006</v>
      </c>
      <c r="G47" s="107">
        <v>65165</v>
      </c>
      <c r="H47" s="47">
        <v>6000</v>
      </c>
      <c r="I47" s="46">
        <v>112433.04000000001</v>
      </c>
      <c r="J47" s="46">
        <v>4115.9499999999998</v>
      </c>
      <c r="K47" s="88">
        <f t="shared" si="8"/>
        <v>59789.650000000009</v>
      </c>
      <c r="L47" s="47">
        <f t="shared" si="9"/>
        <v>47268.040000000008</v>
      </c>
      <c r="M47" s="88">
        <f t="shared" si="10"/>
        <v>35068.940000000002</v>
      </c>
      <c r="N47" s="88">
        <f t="shared" si="11"/>
        <v>-1884.0500000000002</v>
      </c>
      <c r="O47" s="63">
        <f t="shared" si="12"/>
        <v>2.1357484766843475</v>
      </c>
      <c r="P47" s="62">
        <f t="shared" si="13"/>
        <v>0.68599166666666667</v>
      </c>
      <c r="Q47" s="63">
        <f t="shared" si="14"/>
        <v>1.725359318652651</v>
      </c>
      <c r="R47" s="65">
        <f t="shared" si="15"/>
        <v>1.4532973304155286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8"/>
      <c r="C48" s="94"/>
      <c r="D48" s="114" t="s">
        <v>56</v>
      </c>
      <c r="E48" s="151">
        <f>SUM(E35:E47)</f>
        <v>810253.95999999985</v>
      </c>
      <c r="F48" s="151">
        <f>SUM(F35:F47)</f>
        <v>1034225.5000000001</v>
      </c>
      <c r="G48" s="151">
        <f>SUM(G35:G47)</f>
        <v>888456.39999999991</v>
      </c>
      <c r="H48" s="151">
        <f>SUM(H35:H47)</f>
        <v>79552.5</v>
      </c>
      <c r="I48" s="151">
        <f>SUM(I35:I47)</f>
        <v>935284.56000000006</v>
      </c>
      <c r="J48" s="151">
        <f>SUM(J35:J47)</f>
        <v>20144.629999999997</v>
      </c>
      <c r="K48" s="115">
        <f>SUM(K35:K47)</f>
        <v>125030.60000000001</v>
      </c>
      <c r="L48" s="151">
        <f t="shared" si="9"/>
        <v>46828.160000000149</v>
      </c>
      <c r="M48" s="151">
        <f>SUM(M35:M47)</f>
        <v>-98940.940000000002</v>
      </c>
      <c r="N48" s="152">
        <f>SUM(N35:N47)</f>
        <v>-59407.870000000003</v>
      </c>
      <c r="O48" s="116">
        <f t="shared" si="12"/>
        <v>1.1543103843639348</v>
      </c>
      <c r="P48" s="98">
        <f t="shared" si="13"/>
        <v>0.25322434870054361</v>
      </c>
      <c r="Q48" s="117">
        <f t="shared" si="14"/>
        <v>1.0527073247488568</v>
      </c>
      <c r="R48" s="99">
        <f t="shared" si="15"/>
        <v>0.90433330061964234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3" t="s">
        <v>106</v>
      </c>
      <c r="B49" s="154" t="s">
        <v>107</v>
      </c>
      <c r="C49" s="118" t="s">
        <v>108</v>
      </c>
      <c r="D49" s="155" t="s">
        <v>109</v>
      </c>
      <c r="E49" s="49">
        <v>448664.65000000002</v>
      </c>
      <c r="F49" s="103">
        <f>672351.5-9496.39</f>
        <v>662855.10999999999</v>
      </c>
      <c r="G49" s="103">
        <v>534400.18999999994</v>
      </c>
      <c r="H49" s="50">
        <v>63173.260000000002</v>
      </c>
      <c r="I49" s="46">
        <v>500068.59000000003</v>
      </c>
      <c r="J49" s="46">
        <v>21336.82</v>
      </c>
      <c r="K49" s="49">
        <f t="shared" ref="K49:K83" si="16">I49-E49</f>
        <v>51403.940000000002</v>
      </c>
      <c r="L49" s="49">
        <f t="shared" si="9"/>
        <v>-34331.599999999919</v>
      </c>
      <c r="M49" s="49">
        <f t="shared" ref="M49:M83" si="17">I49-F49</f>
        <v>-162786.51999999996</v>
      </c>
      <c r="N49" s="49">
        <f t="shared" ref="N49:N83" si="18">J49-H49</f>
        <v>-41836.440000000002</v>
      </c>
      <c r="O49" s="51">
        <f t="shared" si="12"/>
        <v>1.1145709607387166</v>
      </c>
      <c r="P49" s="51">
        <f t="shared" si="13"/>
        <v>0.33775081418942127</v>
      </c>
      <c r="Q49" s="51">
        <f t="shared" si="14"/>
        <v>0.9357567593679188</v>
      </c>
      <c r="R49" s="53">
        <f t="shared" si="15"/>
        <v>0.75441613477189617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6"/>
      <c r="C50" s="56" t="s">
        <v>110</v>
      </c>
      <c r="D50" s="150" t="s">
        <v>111</v>
      </c>
      <c r="E50" s="88">
        <v>352544.87</v>
      </c>
      <c r="F50" s="107">
        <f>494433.2-6983.53</f>
        <v>487449.66999999998</v>
      </c>
      <c r="G50" s="107">
        <v>410154.07000000001</v>
      </c>
      <c r="H50" s="88">
        <v>41735.849999999999</v>
      </c>
      <c r="I50" s="46">
        <v>384054.42999999999</v>
      </c>
      <c r="J50" s="46">
        <v>12907.060000000001</v>
      </c>
      <c r="K50" s="88">
        <f t="shared" si="16"/>
        <v>31509.559999999998</v>
      </c>
      <c r="L50" s="88">
        <f t="shared" si="9"/>
        <v>-26099.640000000014</v>
      </c>
      <c r="M50" s="88">
        <f t="shared" si="17"/>
        <v>-103395.23999999999</v>
      </c>
      <c r="N50" s="47">
        <f t="shared" si="18"/>
        <v>-28828.789999999997</v>
      </c>
      <c r="O50" s="63">
        <f t="shared" si="12"/>
        <v>1.0893774457702363</v>
      </c>
      <c r="P50" s="63">
        <f t="shared" si="13"/>
        <v>0.30925595141826517</v>
      </c>
      <c r="Q50" s="63">
        <f t="shared" si="14"/>
        <v>0.9363662537836086</v>
      </c>
      <c r="R50" s="65">
        <f t="shared" si="15"/>
        <v>0.78788530106092802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6"/>
      <c r="C51" s="56" t="s">
        <v>112</v>
      </c>
      <c r="D51" s="150" t="s">
        <v>113</v>
      </c>
      <c r="E51" s="88">
        <v>3191811.5499999998</v>
      </c>
      <c r="F51" s="107">
        <f>4658773.5-65801.97</f>
        <v>4592971.5300000003</v>
      </c>
      <c r="G51" s="107">
        <v>3758297.6200000001</v>
      </c>
      <c r="H51" s="88">
        <v>441294.40000000002</v>
      </c>
      <c r="I51" s="46">
        <v>3391705.4899999998</v>
      </c>
      <c r="J51" s="46">
        <v>95272.849999999991</v>
      </c>
      <c r="K51" s="88">
        <f t="shared" si="16"/>
        <v>199893.93999999994</v>
      </c>
      <c r="L51" s="88">
        <f t="shared" si="9"/>
        <v>-366592.13000000035</v>
      </c>
      <c r="M51" s="88">
        <f t="shared" si="17"/>
        <v>-1201266.0400000005</v>
      </c>
      <c r="N51" s="88">
        <f t="shared" si="18"/>
        <v>-346021.55000000005</v>
      </c>
      <c r="O51" s="63">
        <f t="shared" si="12"/>
        <v>1.0626271121802289</v>
      </c>
      <c r="P51" s="63">
        <f t="shared" si="13"/>
        <v>0.21589408340554511</v>
      </c>
      <c r="Q51" s="63">
        <f t="shared" si="14"/>
        <v>0.9024579298751757</v>
      </c>
      <c r="R51" s="65">
        <f t="shared" si="15"/>
        <v>0.73845558759646823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6"/>
      <c r="C52" s="56"/>
      <c r="D52" s="157" t="s">
        <v>114</v>
      </c>
      <c r="E52" s="126">
        <f>E49+E50+E51</f>
        <v>3993021.0699999998</v>
      </c>
      <c r="F52" s="126">
        <f>F49+F50+F51</f>
        <v>5743276.3100000005</v>
      </c>
      <c r="G52" s="126">
        <f>G49+G50+G51</f>
        <v>4702851.8799999999</v>
      </c>
      <c r="H52" s="126">
        <f>H49+H50+H51</f>
        <v>546203.51000000001</v>
      </c>
      <c r="I52" s="126">
        <f>I49+I50+I51</f>
        <v>4275828.5099999998</v>
      </c>
      <c r="J52" s="126">
        <f>J49+J50+J51</f>
        <v>129516.73</v>
      </c>
      <c r="K52" s="126">
        <f t="shared" si="16"/>
        <v>282807.43999999994</v>
      </c>
      <c r="L52" s="126">
        <f t="shared" si="9"/>
        <v>-427023.37000000011</v>
      </c>
      <c r="M52" s="126">
        <f t="shared" si="17"/>
        <v>-1467447.8000000007</v>
      </c>
      <c r="N52" s="126">
        <f t="shared" si="18"/>
        <v>-416686.78000000003</v>
      </c>
      <c r="O52" s="128">
        <f t="shared" si="12"/>
        <v>1.070825431432046</v>
      </c>
      <c r="P52" s="128">
        <f t="shared" si="13"/>
        <v>0.23712174606860362</v>
      </c>
      <c r="Q52" s="128">
        <f t="shared" si="14"/>
        <v>0.90919906029445263</v>
      </c>
      <c r="R52" s="130">
        <f t="shared" si="15"/>
        <v>0.74449291296590947</v>
      </c>
      <c r="S52" s="1"/>
      <c r="T52" s="1"/>
      <c r="U52" s="1"/>
      <c r="V52" s="1"/>
      <c r="W52" s="1"/>
      <c r="X52" s="1"/>
      <c r="Y52" s="1"/>
      <c r="Z52" s="1"/>
    </row>
    <row r="53" ht="34.5">
      <c r="A53" s="153"/>
      <c r="B53" s="156"/>
      <c r="C53" s="158" t="s">
        <v>115</v>
      </c>
      <c r="D53" s="159" t="s">
        <v>116</v>
      </c>
      <c r="E53" s="160">
        <v>2183.3800000000001</v>
      </c>
      <c r="F53" s="161">
        <v>2266.5999999999999</v>
      </c>
      <c r="G53" s="161">
        <v>1860</v>
      </c>
      <c r="H53" s="47">
        <v>200</v>
      </c>
      <c r="I53" s="46">
        <v>2001.4200000000001</v>
      </c>
      <c r="J53" s="46">
        <v>218.81</v>
      </c>
      <c r="K53" s="162">
        <f t="shared" si="16"/>
        <v>-181.96000000000004</v>
      </c>
      <c r="L53" s="162">
        <f t="shared" si="9"/>
        <v>141.42000000000007</v>
      </c>
      <c r="M53" s="162">
        <f t="shared" si="17"/>
        <v>-265.17999999999984</v>
      </c>
      <c r="N53" s="88">
        <f t="shared" si="18"/>
        <v>18.810000000000002</v>
      </c>
      <c r="O53" s="72">
        <f t="shared" si="12"/>
        <v>0.91666132326942629</v>
      </c>
      <c r="P53" s="72">
        <f t="shared" si="13"/>
        <v>1.09405</v>
      </c>
      <c r="Q53" s="72">
        <f t="shared" si="14"/>
        <v>1.0760322580645161</v>
      </c>
      <c r="R53" s="73">
        <f t="shared" si="15"/>
        <v>0.88300538251125038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6"/>
      <c r="C54" s="66" t="s">
        <v>117</v>
      </c>
      <c r="D54" s="120" t="s">
        <v>118</v>
      </c>
      <c r="E54" s="88">
        <v>4835.9099999999999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17324.32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4.5824322619734446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3"/>
      <c r="B55" s="156"/>
      <c r="C55" s="164" t="s">
        <v>119</v>
      </c>
      <c r="D55" s="120" t="s">
        <v>103</v>
      </c>
      <c r="E55" s="46">
        <v>79507.089999999997</v>
      </c>
      <c r="F55" s="48">
        <v>151922.42999999999</v>
      </c>
      <c r="G55" s="48">
        <v>127751</v>
      </c>
      <c r="H55" s="107">
        <v>16893</v>
      </c>
      <c r="I55" s="46">
        <v>90492.720000000001</v>
      </c>
      <c r="J55" s="46">
        <v>2401.7199999999998</v>
      </c>
      <c r="K55" s="46">
        <f t="shared" si="16"/>
        <v>10985.630000000005</v>
      </c>
      <c r="L55" s="46">
        <f t="shared" si="9"/>
        <v>-37258.279999999999</v>
      </c>
      <c r="M55" s="46">
        <f t="shared" si="17"/>
        <v>-61429.709999999992</v>
      </c>
      <c r="N55" s="107">
        <f t="shared" si="18"/>
        <v>-14491.280000000001</v>
      </c>
      <c r="O55" s="165">
        <f t="shared" si="12"/>
        <v>1.1381717026745666</v>
      </c>
      <c r="P55" s="165">
        <f t="shared" si="13"/>
        <v>0.14217249748416502</v>
      </c>
      <c r="Q55" s="165">
        <f t="shared" si="14"/>
        <v>0.70835234166464456</v>
      </c>
      <c r="R55" s="166">
        <f t="shared" si="15"/>
        <v>0.59565081996121316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7"/>
      <c r="C56" s="94"/>
      <c r="D56" s="95" t="s">
        <v>56</v>
      </c>
      <c r="E56" s="96">
        <f>E52+E53+E54+E55</f>
        <v>4079547.4499999997</v>
      </c>
      <c r="F56" s="96">
        <f>F52+F53+F54+F55</f>
        <v>5909228.6399999997</v>
      </c>
      <c r="G56" s="96">
        <f>G52+G53+G54+G55</f>
        <v>4844226.1799999997</v>
      </c>
      <c r="H56" s="96">
        <f>H52+H53+H54+H55</f>
        <v>563296.51000000001</v>
      </c>
      <c r="I56" s="96">
        <f>I52+I53+I54+I55</f>
        <v>4390482.8799999999</v>
      </c>
      <c r="J56" s="96">
        <f>J52+J53+J54+J55</f>
        <v>132137.25999999998</v>
      </c>
      <c r="K56" s="96">
        <f t="shared" si="16"/>
        <v>310935.43000000017</v>
      </c>
      <c r="L56" s="115">
        <f t="shared" si="9"/>
        <v>-453743.29999999981</v>
      </c>
      <c r="M56" s="96">
        <f t="shared" si="17"/>
        <v>-1518745.7599999998</v>
      </c>
      <c r="N56" s="115">
        <f t="shared" si="18"/>
        <v>-431159.25</v>
      </c>
      <c r="O56" s="98">
        <f t="shared" si="12"/>
        <v>1.0762181182621127</v>
      </c>
      <c r="P56" s="116">
        <f t="shared" si="13"/>
        <v>0.23457851709395461</v>
      </c>
      <c r="Q56" s="98">
        <f t="shared" si="14"/>
        <v>0.90633317208157282</v>
      </c>
      <c r="R56" s="99">
        <f t="shared" si="15"/>
        <v>0.74298747729619075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52118.099999999999</v>
      </c>
      <c r="F57" s="103">
        <v>80120.600000000006</v>
      </c>
      <c r="G57" s="103">
        <v>66120.600000000006</v>
      </c>
      <c r="H57" s="49">
        <v>7000</v>
      </c>
      <c r="I57" s="46">
        <v>66117.75</v>
      </c>
      <c r="J57" s="46">
        <v>1560.3</v>
      </c>
      <c r="K57" s="49">
        <f t="shared" si="16"/>
        <v>13999.650000000001</v>
      </c>
      <c r="L57" s="49">
        <f t="shared" si="9"/>
        <v>-2.8500000000058208</v>
      </c>
      <c r="M57" s="46">
        <f t="shared" si="17"/>
        <v>-14002.850000000006</v>
      </c>
      <c r="N57" s="46">
        <f t="shared" si="18"/>
        <v>-5439.6999999999998</v>
      </c>
      <c r="O57" s="52">
        <f t="shared" si="12"/>
        <v>1.2686139747995417</v>
      </c>
      <c r="P57" s="51">
        <f t="shared" si="13"/>
        <v>0.22289999999999999</v>
      </c>
      <c r="Q57" s="104">
        <f t="shared" si="14"/>
        <v>0.99995689694285883</v>
      </c>
      <c r="R57" s="53">
        <f t="shared" si="15"/>
        <v>0.82522784402513205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5149</v>
      </c>
      <c r="J58" s="46">
        <v>0</v>
      </c>
      <c r="K58" s="47">
        <f t="shared" si="16"/>
        <v>1260.5900000000001</v>
      </c>
      <c r="L58" s="88">
        <f t="shared" si="9"/>
        <v>5149</v>
      </c>
      <c r="M58" s="88">
        <f t="shared" si="17"/>
        <v>5149</v>
      </c>
      <c r="N58" s="88">
        <f t="shared" si="18"/>
        <v>0</v>
      </c>
      <c r="O58" s="63">
        <f t="shared" si="12"/>
        <v>1.3241916361700541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8"/>
      <c r="B59" s="93"/>
      <c r="C59" s="113"/>
      <c r="D59" s="114" t="s">
        <v>56</v>
      </c>
      <c r="E59" s="96">
        <f>SUM(E57:E58)</f>
        <v>56006.509999999995</v>
      </c>
      <c r="F59" s="96">
        <f>SUM(F57:F58)</f>
        <v>80120.600000000006</v>
      </c>
      <c r="G59" s="96">
        <f>SUM(G57:G58)</f>
        <v>66120.600000000006</v>
      </c>
      <c r="H59" s="96">
        <f>SUM(H57:H58)</f>
        <v>7000</v>
      </c>
      <c r="I59" s="96">
        <f>SUM(I57:I58)</f>
        <v>71266.75</v>
      </c>
      <c r="J59" s="96">
        <f>SUM(J57:J58)</f>
        <v>1560.3</v>
      </c>
      <c r="K59" s="96">
        <f t="shared" si="16"/>
        <v>15260.240000000005</v>
      </c>
      <c r="L59" s="115">
        <f t="shared" si="9"/>
        <v>5146.1499999999942</v>
      </c>
      <c r="M59" s="96">
        <f t="shared" si="17"/>
        <v>-8853.8500000000058</v>
      </c>
      <c r="N59" s="97">
        <f t="shared" si="18"/>
        <v>-5439.6999999999998</v>
      </c>
      <c r="O59" s="116">
        <f t="shared" si="12"/>
        <v>1.2724726107732833</v>
      </c>
      <c r="P59" s="98">
        <f t="shared" si="13"/>
        <v>0.22289999999999999</v>
      </c>
      <c r="Q59" s="117">
        <f t="shared" si="14"/>
        <v>1.0778297535110086</v>
      </c>
      <c r="R59" s="99">
        <f t="shared" si="15"/>
        <v>0.88949346360361747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3" t="s">
        <v>124</v>
      </c>
      <c r="B60" s="81" t="s">
        <v>125</v>
      </c>
      <c r="C60" s="118" t="s">
        <v>126</v>
      </c>
      <c r="D60" s="119" t="s">
        <v>127</v>
      </c>
      <c r="E60" s="49">
        <v>57504.190000000002</v>
      </c>
      <c r="F60" s="103">
        <v>3503</v>
      </c>
      <c r="G60" s="103">
        <v>2923.5999999999999</v>
      </c>
      <c r="H60" s="50">
        <v>386.30000000000001</v>
      </c>
      <c r="I60" s="46">
        <v>2470.25</v>
      </c>
      <c r="J60" s="46">
        <v>131.34999999999999</v>
      </c>
      <c r="K60" s="49">
        <f t="shared" si="16"/>
        <v>-55033.940000000002</v>
      </c>
      <c r="L60" s="49">
        <f t="shared" si="9"/>
        <v>-453.34999999999991</v>
      </c>
      <c r="M60" s="50">
        <f t="shared" si="17"/>
        <v>-1032.75</v>
      </c>
      <c r="N60" s="49">
        <f t="shared" si="18"/>
        <v>-254.95000000000002</v>
      </c>
      <c r="O60" s="51">
        <f t="shared" si="12"/>
        <v>0.042957739253435268</v>
      </c>
      <c r="P60" s="52">
        <f t="shared" si="13"/>
        <v>0.34002070929329536</v>
      </c>
      <c r="Q60" s="51">
        <f t="shared" si="14"/>
        <v>0.84493432754138731</v>
      </c>
      <c r="R60" s="53">
        <f t="shared" si="15"/>
        <v>0.70518127319440482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0" t="s">
        <v>128</v>
      </c>
      <c r="E61" s="88">
        <v>83928.779999999999</v>
      </c>
      <c r="F61" s="107">
        <v>62240.599999999999</v>
      </c>
      <c r="G61" s="107">
        <v>37100</v>
      </c>
      <c r="H61" s="90">
        <v>12500</v>
      </c>
      <c r="I61" s="46">
        <v>106227.83</v>
      </c>
      <c r="J61" s="46">
        <v>48.32</v>
      </c>
      <c r="K61" s="88">
        <f t="shared" si="16"/>
        <v>22299.050000000003</v>
      </c>
      <c r="L61" s="88">
        <f t="shared" si="9"/>
        <v>69127.830000000002</v>
      </c>
      <c r="M61" s="88">
        <f t="shared" si="17"/>
        <v>43987.230000000003</v>
      </c>
      <c r="N61" s="88">
        <f t="shared" si="18"/>
        <v>-12451.68</v>
      </c>
      <c r="O61" s="63">
        <f t="shared" si="12"/>
        <v>1.265690148242355</v>
      </c>
      <c r="P61" s="63">
        <f t="shared" si="13"/>
        <v>0.0038655999999999999</v>
      </c>
      <c r="Q61" s="64">
        <f t="shared" si="14"/>
        <v>2.8632838274932615</v>
      </c>
      <c r="R61" s="65">
        <f t="shared" si="15"/>
        <v>1.7067288875749913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141432.97</v>
      </c>
      <c r="F62" s="96">
        <f>SUM(F60:F61)</f>
        <v>65743.600000000006</v>
      </c>
      <c r="G62" s="96">
        <f>SUM(G60:G61)</f>
        <v>40023.599999999999</v>
      </c>
      <c r="H62" s="96">
        <f>SUM(H60:H61)</f>
        <v>12886.299999999999</v>
      </c>
      <c r="I62" s="96">
        <f>SUM(I60:I61)</f>
        <v>108698.08</v>
      </c>
      <c r="J62" s="96">
        <f>SUM(J60:J61)</f>
        <v>179.66999999999999</v>
      </c>
      <c r="K62" s="96">
        <f t="shared" si="16"/>
        <v>-32734.889999999999</v>
      </c>
      <c r="L62" s="115">
        <f t="shared" si="9"/>
        <v>68674.48000000001</v>
      </c>
      <c r="M62" s="96">
        <f t="shared" si="17"/>
        <v>42954.479999999996</v>
      </c>
      <c r="N62" s="96">
        <f t="shared" si="18"/>
        <v>-12706.629999999999</v>
      </c>
      <c r="O62" s="116">
        <f t="shared" si="12"/>
        <v>0.76854838019734717</v>
      </c>
      <c r="P62" s="98">
        <f t="shared" si="13"/>
        <v>0.013942714355555901</v>
      </c>
      <c r="Q62" s="98">
        <f t="shared" si="14"/>
        <v>2.715849648707263</v>
      </c>
      <c r="R62" s="99">
        <f t="shared" si="15"/>
        <v>1.6533636734222037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69" t="s">
        <v>131</v>
      </c>
      <c r="E63" s="49">
        <v>3010.4699999999998</v>
      </c>
      <c r="F63" s="103">
        <v>793.5</v>
      </c>
      <c r="G63" s="103">
        <v>195.5</v>
      </c>
      <c r="H63" s="46">
        <v>7.2999999999999998</v>
      </c>
      <c r="I63" s="46">
        <v>2695.77</v>
      </c>
      <c r="J63" s="46">
        <v>10</v>
      </c>
      <c r="K63" s="49">
        <f t="shared" si="16"/>
        <v>-314.69999999999982</v>
      </c>
      <c r="L63" s="49">
        <f t="shared" si="9"/>
        <v>2500.27</v>
      </c>
      <c r="M63" s="46">
        <f t="shared" si="17"/>
        <v>1902.27</v>
      </c>
      <c r="N63" s="84">
        <f t="shared" si="18"/>
        <v>2.7000000000000002</v>
      </c>
      <c r="O63" s="51">
        <f t="shared" si="12"/>
        <v>0.89546482775114855</v>
      </c>
      <c r="P63" s="52">
        <f t="shared" si="13"/>
        <v>1.3698630136986301</v>
      </c>
      <c r="Q63" s="51">
        <f t="shared" si="14"/>
        <v>13.789104859335039</v>
      </c>
      <c r="R63" s="53">
        <f t="shared" si="15"/>
        <v>3.3973156899810966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1777.97</v>
      </c>
      <c r="F64" s="170">
        <v>44.399999999999999</v>
      </c>
      <c r="G64" s="170">
        <v>44.399999999999999</v>
      </c>
      <c r="H64" s="171">
        <v>0</v>
      </c>
      <c r="I64" s="46">
        <v>1959.29</v>
      </c>
      <c r="J64" s="46">
        <v>0</v>
      </c>
      <c r="K64" s="88">
        <f t="shared" si="16"/>
        <v>181.31999999999994</v>
      </c>
      <c r="L64" s="88">
        <f t="shared" si="9"/>
        <v>1914.8899999999999</v>
      </c>
      <c r="M64" s="88">
        <f t="shared" si="17"/>
        <v>1914.8899999999999</v>
      </c>
      <c r="N64" s="170">
        <f t="shared" si="18"/>
        <v>0</v>
      </c>
      <c r="O64" s="63">
        <f t="shared" si="12"/>
        <v>1.1019814732532045</v>
      </c>
      <c r="P64" s="63" t="str">
        <f t="shared" si="13"/>
        <v/>
      </c>
      <c r="Q64" s="64">
        <f t="shared" si="14"/>
        <v>44.128153153153157</v>
      </c>
      <c r="R64" s="172">
        <f t="shared" si="15"/>
        <v>44.128153153153157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>
        <v>0</v>
      </c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60602.860000000001</v>
      </c>
      <c r="F66" s="88">
        <f>1508.6+1645.9</f>
        <v>3154.5</v>
      </c>
      <c r="G66" s="88">
        <v>2868.1999999999998</v>
      </c>
      <c r="H66" s="88">
        <v>246.30000000000001</v>
      </c>
      <c r="I66" s="46">
        <v>201823.74000000002</v>
      </c>
      <c r="J66" s="46">
        <v>525.48000000000002</v>
      </c>
      <c r="K66" s="88">
        <f t="shared" si="16"/>
        <v>141220.88</v>
      </c>
      <c r="L66" s="88">
        <f t="shared" si="9"/>
        <v>198955.54000000001</v>
      </c>
      <c r="M66" s="88">
        <f t="shared" si="17"/>
        <v>198669.24000000002</v>
      </c>
      <c r="N66" s="47">
        <f t="shared" si="18"/>
        <v>279.18000000000001</v>
      </c>
      <c r="O66" s="63">
        <f t="shared" si="12"/>
        <v>3.3302675814309755</v>
      </c>
      <c r="P66" s="173">
        <f t="shared" si="13"/>
        <v>2.133495736906212</v>
      </c>
      <c r="Q66" s="174">
        <f t="shared" si="14"/>
        <v>70.365992608604714</v>
      </c>
      <c r="R66" s="172">
        <f t="shared" si="15"/>
        <v>63.979629101283884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76043.449999999997</v>
      </c>
      <c r="F67" s="88">
        <f>113657.8+10372.1</f>
        <v>124029.90000000001</v>
      </c>
      <c r="G67" s="88">
        <v>104733.5</v>
      </c>
      <c r="H67" s="88">
        <v>9097.5</v>
      </c>
      <c r="I67" s="46">
        <v>123739.03999999999</v>
      </c>
      <c r="J67" s="46">
        <v>6240.5100000000002</v>
      </c>
      <c r="K67" s="88">
        <f t="shared" si="16"/>
        <v>47695.589999999997</v>
      </c>
      <c r="L67" s="88">
        <f t="shared" si="9"/>
        <v>19005.539999999994</v>
      </c>
      <c r="M67" s="47">
        <f t="shared" si="17"/>
        <v>-290.86000000001513</v>
      </c>
      <c r="N67" s="88">
        <f t="shared" si="18"/>
        <v>-2856.9899999999998</v>
      </c>
      <c r="O67" s="62">
        <f t="shared" si="12"/>
        <v>1.6272149672325493</v>
      </c>
      <c r="P67" s="63">
        <f t="shared" si="13"/>
        <v>0.68595877988458365</v>
      </c>
      <c r="Q67" s="64">
        <f t="shared" si="14"/>
        <v>1.1814657201373009</v>
      </c>
      <c r="R67" s="65">
        <f t="shared" si="15"/>
        <v>0.99765492030550684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6418.6099999999997</v>
      </c>
      <c r="F68" s="107">
        <v>0</v>
      </c>
      <c r="G68" s="107">
        <v>0</v>
      </c>
      <c r="H68" s="47">
        <v>0</v>
      </c>
      <c r="I68" s="46">
        <v>-8.8900000000000006</v>
      </c>
      <c r="J68" s="46">
        <v>17.210000000000001</v>
      </c>
      <c r="K68" s="88">
        <f t="shared" si="16"/>
        <v>-6427.5</v>
      </c>
      <c r="L68" s="88">
        <f t="shared" si="9"/>
        <v>-8.8900000000000006</v>
      </c>
      <c r="M68" s="88">
        <f t="shared" si="17"/>
        <v>-8.8900000000000006</v>
      </c>
      <c r="N68" s="88">
        <f t="shared" si="18"/>
        <v>17.210000000000001</v>
      </c>
      <c r="O68" s="63">
        <f t="shared" si="12"/>
        <v>-0.0013850350776881601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40586.029999999999</v>
      </c>
      <c r="F69" s="88">
        <v>0</v>
      </c>
      <c r="G69" s="88">
        <v>0</v>
      </c>
      <c r="H69" s="88">
        <v>0</v>
      </c>
      <c r="I69" s="46">
        <v>594.84000000000003</v>
      </c>
      <c r="J69" s="46">
        <v>0</v>
      </c>
      <c r="K69" s="88">
        <f t="shared" si="16"/>
        <v>-39991.190000000002</v>
      </c>
      <c r="L69" s="88">
        <f t="shared" si="9"/>
        <v>594.84000000000003</v>
      </c>
      <c r="M69" s="88">
        <f t="shared" si="17"/>
        <v>594.84000000000003</v>
      </c>
      <c r="N69" s="88">
        <f t="shared" si="18"/>
        <v>0</v>
      </c>
      <c r="O69" s="62">
        <f t="shared" si="12"/>
        <v>0.014656274585122024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46">
        <v>2556.7600000000002</v>
      </c>
      <c r="J70" s="46">
        <v>0</v>
      </c>
      <c r="K70" s="88">
        <f t="shared" si="16"/>
        <v>-3295.3599999999997</v>
      </c>
      <c r="L70" s="47">
        <f t="shared" si="9"/>
        <v>2556.7600000000002</v>
      </c>
      <c r="M70" s="88">
        <f t="shared" si="17"/>
        <v>2556.7600000000002</v>
      </c>
      <c r="N70" s="88">
        <f t="shared" si="18"/>
        <v>0</v>
      </c>
      <c r="O70" s="63">
        <f t="shared" si="12"/>
        <v>0.43689466381413922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8"/>
      <c r="B71" s="175"/>
      <c r="C71" s="176"/>
      <c r="D71" s="177" t="s">
        <v>142</v>
      </c>
      <c r="E71" s="97">
        <f>SUM(E63:E70)</f>
        <v>194291.50999999998</v>
      </c>
      <c r="F71" s="97">
        <f>SUM(F63:F70)</f>
        <v>128467.3</v>
      </c>
      <c r="G71" s="97">
        <f>SUM(G63:G70)</f>
        <v>108286.60000000001</v>
      </c>
      <c r="H71" s="97">
        <f>SUM(H63:H70)</f>
        <v>9351.1000000000004</v>
      </c>
      <c r="I71" s="97">
        <f>SUM(I63:I70)</f>
        <v>344266.55000000005</v>
      </c>
      <c r="J71" s="97">
        <f>SUM(J63:J70)</f>
        <v>6793.1999999999998</v>
      </c>
      <c r="K71" s="178">
        <f t="shared" si="16"/>
        <v>149975.04000000007</v>
      </c>
      <c r="L71" s="97">
        <f t="shared" si="9"/>
        <v>235979.95000000004</v>
      </c>
      <c r="M71" s="178">
        <f t="shared" si="17"/>
        <v>215799.25000000006</v>
      </c>
      <c r="N71" s="97">
        <f t="shared" si="18"/>
        <v>-2557.9000000000005</v>
      </c>
      <c r="O71" s="140">
        <f t="shared" si="12"/>
        <v>1.7719073262645397</v>
      </c>
      <c r="P71" s="179">
        <f t="shared" si="13"/>
        <v>0.72645998866443517</v>
      </c>
      <c r="Q71" s="180">
        <f t="shared" si="14"/>
        <v>3.1792165420282843</v>
      </c>
      <c r="R71" s="181">
        <f t="shared" si="15"/>
        <v>2.6797990617067535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2"/>
      <c r="B72" s="183" t="s">
        <v>143</v>
      </c>
      <c r="C72" s="184"/>
      <c r="D72" s="185"/>
      <c r="E72" s="78">
        <f>E5+E17</f>
        <v>23793477.069999997</v>
      </c>
      <c r="F72" s="78">
        <f>F5+F17</f>
        <v>37107195.540000007</v>
      </c>
      <c r="G72" s="78">
        <f>G5+G17</f>
        <v>28630444.380000003</v>
      </c>
      <c r="H72" s="78">
        <f>H5+H17</f>
        <v>3881276.3099999996</v>
      </c>
      <c r="I72" s="78">
        <f>I5+I17</f>
        <v>25832105.579999998</v>
      </c>
      <c r="J72" s="78">
        <f>J5+J17</f>
        <v>894784.04999999993</v>
      </c>
      <c r="K72" s="78">
        <f t="shared" si="16"/>
        <v>2038628.5100000016</v>
      </c>
      <c r="L72" s="78">
        <f t="shared" si="9"/>
        <v>-2798338.8000000045</v>
      </c>
      <c r="M72" s="78">
        <f t="shared" si="17"/>
        <v>-11275089.960000008</v>
      </c>
      <c r="N72" s="78">
        <f t="shared" si="18"/>
        <v>-2986492.2599999998</v>
      </c>
      <c r="O72" s="39">
        <f t="shared" si="12"/>
        <v>1.085680142671136</v>
      </c>
      <c r="P72" s="38">
        <f t="shared" si="13"/>
        <v>0.2305386111508253</v>
      </c>
      <c r="Q72" s="39">
        <f t="shared" si="14"/>
        <v>0.90226002911939418</v>
      </c>
      <c r="R72" s="41">
        <f t="shared" si="15"/>
        <v>0.6961481514320873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6"/>
      <c r="B73" s="187" t="s">
        <v>144</v>
      </c>
      <c r="C73" s="188"/>
      <c r="D73" s="189"/>
      <c r="E73" s="190">
        <f>SUM(E74:E82)</f>
        <v>19995060</v>
      </c>
      <c r="F73" s="190">
        <f>SUM(F74:F82)</f>
        <v>30382461.320000004</v>
      </c>
      <c r="G73" s="190">
        <f>SUM(G74:G82)</f>
        <v>22466185.310000002</v>
      </c>
      <c r="H73" s="190">
        <f>SUM(H74:H82)</f>
        <v>1982153.3200000001</v>
      </c>
      <c r="I73" s="190">
        <f>SUM(I74:I82)</f>
        <v>21917773.100000001</v>
      </c>
      <c r="J73" s="190">
        <f>SUM(J74:J82)</f>
        <v>1528141.5900000001</v>
      </c>
      <c r="K73" s="190">
        <f t="shared" si="16"/>
        <v>1922713.1000000015</v>
      </c>
      <c r="L73" s="190">
        <f t="shared" si="9"/>
        <v>-548412.21000000089</v>
      </c>
      <c r="M73" s="190">
        <f t="shared" si="17"/>
        <v>-8464688.2200000025</v>
      </c>
      <c r="N73" s="127">
        <f t="shared" si="18"/>
        <v>-454011.72999999998</v>
      </c>
      <c r="O73" s="129">
        <f t="shared" si="12"/>
        <v>1.0961594063733744</v>
      </c>
      <c r="P73" s="191">
        <f t="shared" si="13"/>
        <v>0.77095024616965557</v>
      </c>
      <c r="Q73" s="192">
        <f t="shared" si="14"/>
        <v>0.97558943797388264</v>
      </c>
      <c r="R73" s="193">
        <f t="shared" si="15"/>
        <v>0.72139557322737669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4"/>
      <c r="B74" s="195"/>
      <c r="C74" s="56" t="s">
        <v>145</v>
      </c>
      <c r="D74" s="196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46">
        <v>531833.69999999995</v>
      </c>
      <c r="J74" s="46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197"/>
      <c r="B75" s="123"/>
      <c r="C75" s="66" t="s">
        <v>147</v>
      </c>
      <c r="D75" s="198" t="s">
        <v>148</v>
      </c>
      <c r="E75" s="88">
        <v>3498921.3900000001</v>
      </c>
      <c r="F75" s="88">
        <v>8982332.5600000005</v>
      </c>
      <c r="G75" s="88">
        <v>5065843.8300000001</v>
      </c>
      <c r="H75" s="199">
        <v>412633.19</v>
      </c>
      <c r="I75" s="46">
        <v>4703846.3099999996</v>
      </c>
      <c r="J75" s="46">
        <v>53339.630000000005</v>
      </c>
      <c r="K75" s="88">
        <f t="shared" si="16"/>
        <v>1204924.9199999995</v>
      </c>
      <c r="L75" s="88">
        <f t="shared" si="19"/>
        <v>-361997.52000000048</v>
      </c>
      <c r="M75" s="88">
        <f t="shared" si="17"/>
        <v>-4278486.2500000009</v>
      </c>
      <c r="N75" s="88">
        <f t="shared" si="18"/>
        <v>-359293.56</v>
      </c>
      <c r="O75" s="63">
        <f t="shared" si="20"/>
        <v>1.3443703889557803</v>
      </c>
      <c r="P75" s="63">
        <f t="shared" si="21"/>
        <v>0.1292664557594119</v>
      </c>
      <c r="Q75" s="63">
        <f t="shared" si="22"/>
        <v>0.92854151605380209</v>
      </c>
      <c r="R75" s="65">
        <f t="shared" si="23"/>
        <v>0.52367759472045194</v>
      </c>
      <c r="S75" s="1"/>
      <c r="T75" s="1"/>
      <c r="U75" s="1"/>
      <c r="V75" s="1"/>
      <c r="W75" s="1"/>
      <c r="X75" s="1"/>
      <c r="Y75" s="1"/>
      <c r="Z75" s="1"/>
    </row>
    <row r="76" ht="13.5">
      <c r="A76" s="197"/>
      <c r="B76" s="123"/>
      <c r="C76" s="56" t="s">
        <v>149</v>
      </c>
      <c r="D76" s="196" t="s">
        <v>150</v>
      </c>
      <c r="E76" s="88">
        <v>13521682.83</v>
      </c>
      <c r="F76" s="107">
        <v>17839004.510000002</v>
      </c>
      <c r="G76" s="107">
        <v>14552942.220000001</v>
      </c>
      <c r="H76" s="88">
        <v>1455938.3700000001</v>
      </c>
      <c r="I76" s="46">
        <v>14544278.239999998</v>
      </c>
      <c r="J76" s="46">
        <v>1447274.3899999999</v>
      </c>
      <c r="K76" s="88">
        <f t="shared" si="16"/>
        <v>1022595.4099999983</v>
      </c>
      <c r="L76" s="88">
        <f t="shared" si="19"/>
        <v>-8663.9800000023097</v>
      </c>
      <c r="M76" s="88">
        <f t="shared" si="17"/>
        <v>-3294726.2700000033</v>
      </c>
      <c r="N76" s="107">
        <f t="shared" si="18"/>
        <v>-8663.9800000002142</v>
      </c>
      <c r="O76" s="63">
        <f t="shared" si="20"/>
        <v>1.0756263419913392</v>
      </c>
      <c r="P76" s="63">
        <f t="shared" si="21"/>
        <v>0.9940492123990109</v>
      </c>
      <c r="Q76" s="63">
        <f t="shared" si="22"/>
        <v>0.99940465784382104</v>
      </c>
      <c r="R76" s="65">
        <f t="shared" si="23"/>
        <v>0.81530772817770858</v>
      </c>
      <c r="S76" s="1"/>
      <c r="T76" s="1"/>
      <c r="U76" s="1"/>
      <c r="V76" s="1"/>
      <c r="W76" s="1"/>
      <c r="X76" s="1"/>
      <c r="Y76" s="1"/>
      <c r="Z76" s="1"/>
    </row>
    <row r="77" ht="13.5">
      <c r="A77" s="197"/>
      <c r="B77" s="123"/>
      <c r="C77" s="66" t="s">
        <v>151</v>
      </c>
      <c r="D77" s="200" t="s">
        <v>152</v>
      </c>
      <c r="E77" s="88">
        <v>2549232.46</v>
      </c>
      <c r="F77" s="88">
        <v>2955879.9500000002</v>
      </c>
      <c r="G77" s="47">
        <v>2362649.7599999998</v>
      </c>
      <c r="H77" s="46">
        <v>113581.75999999999</v>
      </c>
      <c r="I77" s="46">
        <v>2276583.8500000001</v>
      </c>
      <c r="J77" s="46">
        <v>27515.84</v>
      </c>
      <c r="K77" s="88">
        <f t="shared" si="16"/>
        <v>-272648.60999999987</v>
      </c>
      <c r="L77" s="88">
        <f t="shared" si="19"/>
        <v>-86065.909999999683</v>
      </c>
      <c r="M77" s="88">
        <f t="shared" si="17"/>
        <v>-679296.10000000009</v>
      </c>
      <c r="N77" s="88">
        <f t="shared" si="18"/>
        <v>-86065.919999999998</v>
      </c>
      <c r="O77" s="63">
        <f t="shared" si="20"/>
        <v>0.89304678397198822</v>
      </c>
      <c r="P77" s="63">
        <f t="shared" si="21"/>
        <v>0.24225579881840184</v>
      </c>
      <c r="Q77" s="63">
        <f t="shared" si="22"/>
        <v>0.96357229435479275</v>
      </c>
      <c r="R77" s="65">
        <f t="shared" si="23"/>
        <v>0.77018819725746979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197"/>
      <c r="B78" s="123"/>
      <c r="C78" s="56" t="s">
        <v>153</v>
      </c>
      <c r="D78" s="200" t="s">
        <v>154</v>
      </c>
      <c r="E78" s="88">
        <v>7710.8400000000001</v>
      </c>
      <c r="F78" s="88">
        <v>0</v>
      </c>
      <c r="G78" s="88">
        <v>0</v>
      </c>
      <c r="H78" s="47">
        <v>0</v>
      </c>
      <c r="I78" s="46">
        <v>3.1099999999999999</v>
      </c>
      <c r="J78" s="46">
        <v>0</v>
      </c>
      <c r="K78" s="88">
        <f t="shared" si="16"/>
        <v>-7707.7300000000005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0.00040332830145613187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197"/>
      <c r="B79" s="123"/>
      <c r="C79" s="56" t="s">
        <v>155</v>
      </c>
      <c r="D79" s="200" t="s">
        <v>156</v>
      </c>
      <c r="E79" s="88">
        <v>44836.290000000001</v>
      </c>
      <c r="F79" s="88">
        <v>0</v>
      </c>
      <c r="G79" s="4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1"/>
      <c r="B80" s="123"/>
      <c r="C80" s="56" t="s">
        <v>157</v>
      </c>
      <c r="D80" s="202" t="s">
        <v>158</v>
      </c>
      <c r="E80" s="88">
        <v>0</v>
      </c>
      <c r="F80" s="88">
        <v>0</v>
      </c>
      <c r="G80" s="88">
        <v>0</v>
      </c>
      <c r="H80" s="47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197"/>
      <c r="B81" s="123"/>
      <c r="C81" s="203" t="s">
        <v>159</v>
      </c>
      <c r="D81" s="111" t="s">
        <v>160</v>
      </c>
      <c r="E81" s="88">
        <v>27680.59</v>
      </c>
      <c r="F81" s="88">
        <v>6032.6000000000004</v>
      </c>
      <c r="G81" s="88">
        <v>6032.6000000000004</v>
      </c>
      <c r="H81" s="107">
        <v>0</v>
      </c>
      <c r="I81" s="46">
        <v>141853.66</v>
      </c>
      <c r="J81" s="46">
        <v>11.789999999999999</v>
      </c>
      <c r="K81" s="88">
        <f t="shared" si="16"/>
        <v>114173.07000000001</v>
      </c>
      <c r="L81" s="88">
        <f t="shared" si="19"/>
        <v>135821.06</v>
      </c>
      <c r="M81" s="88">
        <f t="shared" si="17"/>
        <v>135821.06</v>
      </c>
      <c r="N81" s="107">
        <f t="shared" si="18"/>
        <v>11.789999999999999</v>
      </c>
      <c r="O81" s="63">
        <f t="shared" si="20"/>
        <v>5.1246617214445216</v>
      </c>
      <c r="P81" s="63" t="str">
        <f t="shared" si="21"/>
        <v/>
      </c>
      <c r="Q81" s="63">
        <f t="shared" si="22"/>
        <v>23.514514471372209</v>
      </c>
      <c r="R81" s="65">
        <f t="shared" si="23"/>
        <v>23.514514471372209</v>
      </c>
      <c r="S81" s="1"/>
      <c r="T81" s="1"/>
      <c r="U81" s="1"/>
      <c r="V81" s="1"/>
      <c r="W81" s="1"/>
      <c r="X81" s="1"/>
      <c r="Y81" s="1"/>
      <c r="Z81" s="1"/>
    </row>
    <row r="82" ht="13.5">
      <c r="A82" s="197"/>
      <c r="B82" s="195"/>
      <c r="C82" s="204" t="s">
        <v>161</v>
      </c>
      <c r="D82" s="205" t="s">
        <v>162</v>
      </c>
      <c r="E82" s="162">
        <v>-73871.899999999994</v>
      </c>
      <c r="F82" s="162">
        <v>0</v>
      </c>
      <c r="G82" s="206">
        <v>0</v>
      </c>
      <c r="H82" s="162">
        <v>0</v>
      </c>
      <c r="I82" s="46">
        <v>-280780.77000000002</v>
      </c>
      <c r="J82" s="46">
        <v>-0.059999999999999998</v>
      </c>
      <c r="K82" s="162">
        <f t="shared" si="16"/>
        <v>-206908.87000000002</v>
      </c>
      <c r="L82" s="162">
        <f t="shared" si="19"/>
        <v>-280780.77000000002</v>
      </c>
      <c r="M82" s="162">
        <f t="shared" si="17"/>
        <v>-280780.77000000002</v>
      </c>
      <c r="N82" s="47">
        <f t="shared" si="18"/>
        <v>-0.059999999999999998</v>
      </c>
      <c r="O82" s="72">
        <f t="shared" si="20"/>
        <v>3.8009144207743408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07"/>
      <c r="B83" s="183" t="s">
        <v>163</v>
      </c>
      <c r="C83" s="184"/>
      <c r="D83" s="185"/>
      <c r="E83" s="78">
        <f>E72+E73</f>
        <v>43788537.069999993</v>
      </c>
      <c r="F83" s="78">
        <f>F72+F73</f>
        <v>67489656.860000014</v>
      </c>
      <c r="G83" s="78">
        <f>G72+G73</f>
        <v>51096629.690000005</v>
      </c>
      <c r="H83" s="78">
        <f>H72+H73</f>
        <v>5863429.6299999999</v>
      </c>
      <c r="I83" s="78">
        <f>I72+I73</f>
        <v>47749878.68</v>
      </c>
      <c r="J83" s="78">
        <f>J72+J73</f>
        <v>2422925.6400000001</v>
      </c>
      <c r="K83" s="78">
        <f t="shared" si="16"/>
        <v>3961341.6100000069</v>
      </c>
      <c r="L83" s="78">
        <f t="shared" si="19"/>
        <v>-3346751.0100000054</v>
      </c>
      <c r="M83" s="78">
        <f t="shared" si="17"/>
        <v>-19739778.180000015</v>
      </c>
      <c r="N83" s="78">
        <f t="shared" si="18"/>
        <v>-3440503.9899999998</v>
      </c>
      <c r="O83" s="39">
        <f t="shared" si="20"/>
        <v>1.0904652650000031</v>
      </c>
      <c r="P83" s="39">
        <f t="shared" si="21"/>
        <v>0.41322669374306115</v>
      </c>
      <c r="Q83" s="39">
        <f t="shared" si="22"/>
        <v>0.93450153111262857</v>
      </c>
      <c r="R83" s="41">
        <f t="shared" si="23"/>
        <v>0.70751402365331262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08"/>
      <c r="B84" s="209" t="s">
        <v>164</v>
      </c>
      <c r="C84" s="4"/>
      <c r="D84" s="210"/>
      <c r="E84" s="211"/>
      <c r="F84" s="211"/>
      <c r="G84" s="211"/>
      <c r="H84" s="211"/>
      <c r="I84" s="212"/>
      <c r="J84" s="212"/>
      <c r="K84" s="212"/>
      <c r="L84" s="212"/>
      <c r="M84" s="211"/>
      <c r="N84" s="211"/>
      <c r="O84" s="211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377</cp:revision>
  <dcterms:created xsi:type="dcterms:W3CDTF">2015-02-26T11:08:47Z</dcterms:created>
  <dcterms:modified xsi:type="dcterms:W3CDTF">2026-10-12T05:52:05Z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